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 1" sheetId="1" r:id="rId1"/>
  </sheets>
  <definedNames>
    <definedName name="_xlnm.Print_Area" localSheetId="0">'Sheet 1'!$A$1:$Q$335</definedName>
    <definedName name="_xlnm.Print_Titles" localSheetId="0">'Sheet 1'!$A:$B,'Sheet 1'!$1:$2</definedName>
  </definedNames>
  <calcPr fullCalcOnLoad="1"/>
</workbook>
</file>

<file path=xl/sharedStrings.xml><?xml version="1.0" encoding="utf-8"?>
<sst xmlns="http://schemas.openxmlformats.org/spreadsheetml/2006/main" count="309" uniqueCount="134">
  <si>
    <t>Charles "Chuck" Pineda, Jr.</t>
  </si>
  <si>
    <t>Gray Davis</t>
  </si>
  <si>
    <t>Anselmo A. Chavez</t>
  </si>
  <si>
    <t>Mosemarie Boyd</t>
  </si>
  <si>
    <t>Bill Jones</t>
  </si>
  <si>
    <t>Danney Ball</t>
  </si>
  <si>
    <t>Richard J. Riordan</t>
  </si>
  <si>
    <t>Bill Simon</t>
  </si>
  <si>
    <t>Nick Jesson</t>
  </si>
  <si>
    <t>Jim Dimov</t>
  </si>
  <si>
    <t>Edie Bukewihge</t>
  </si>
  <si>
    <t>Reinhold Gulke</t>
  </si>
  <si>
    <t>Peter Miguel Camejo</t>
  </si>
  <si>
    <t>Gary David Copeland</t>
  </si>
  <si>
    <t>Iris Adam</t>
  </si>
  <si>
    <t>DEM</t>
  </si>
  <si>
    <t>REP</t>
  </si>
  <si>
    <t>AI</t>
  </si>
  <si>
    <t>GRN</t>
  </si>
  <si>
    <t>LIB</t>
  </si>
  <si>
    <t>NL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</si>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</sst>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b/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right" wrapText="1"/>
      <protection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workbookViewId="0" topLeftCell="A1">
      <selection activeCell="W54" sqref="W54"/>
    </sheetView>
  </sheetViews>
  <sheetFormatPr defaultColWidth="9.140625" defaultRowHeight="12.75"/>
  <cols>
    <col min="1" max="1" width="2.7109375" style="1" customWidth="1"/>
    <col min="2" max="2" width="20.7109375" style="8" customWidth="1"/>
    <col min="3" max="16384" width="7.7109375" style="1" customWidth="1"/>
  </cols>
  <sheetData>
    <row r="1" spans="3:17" s="12" customFormat="1" ht="27"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5</v>
      </c>
      <c r="I1" s="13" t="s">
        <v>6</v>
      </c>
      <c r="J1" s="13" t="s">
        <v>7</v>
      </c>
      <c r="K1" s="13" t="s">
        <v>8</v>
      </c>
      <c r="L1" s="13" t="s">
        <v>9</v>
      </c>
      <c r="M1" s="13" t="s">
        <v>10</v>
      </c>
      <c r="N1" s="13" t="s">
        <v>11</v>
      </c>
      <c r="O1" s="13" t="s">
        <v>12</v>
      </c>
      <c r="P1" s="13" t="s">
        <v>13</v>
      </c>
      <c r="Q1" s="13" t="s">
        <v>14</v>
      </c>
    </row>
    <row r="2" spans="3:17" s="14" customFormat="1" ht="9">
      <c r="C2" s="15" t="s">
        <v>15</v>
      </c>
      <c r="D2" s="15" t="s">
        <v>15</v>
      </c>
      <c r="E2" s="15" t="s">
        <v>15</v>
      </c>
      <c r="F2" s="15" t="s">
        <v>15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17</v>
      </c>
      <c r="O2" s="15" t="s">
        <v>18</v>
      </c>
      <c r="P2" s="15" t="s">
        <v>19</v>
      </c>
      <c r="Q2" s="15" t="s">
        <v>20</v>
      </c>
    </row>
    <row r="3" spans="1:17" ht="9">
      <c r="A3" s="5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9">
      <c r="B4" s="9" t="s">
        <v>21</v>
      </c>
      <c r="C4" s="3">
        <v>204</v>
      </c>
      <c r="D4" s="3">
        <v>1594</v>
      </c>
      <c r="E4" s="3">
        <v>272</v>
      </c>
      <c r="F4" s="3">
        <v>150</v>
      </c>
      <c r="G4" s="3">
        <v>613</v>
      </c>
      <c r="H4" s="3">
        <v>46</v>
      </c>
      <c r="I4" s="3">
        <v>437</v>
      </c>
      <c r="J4" s="3">
        <v>1274</v>
      </c>
      <c r="K4" s="3">
        <v>58</v>
      </c>
      <c r="L4" s="3">
        <v>16</v>
      </c>
      <c r="M4" s="3">
        <v>48</v>
      </c>
      <c r="N4" s="3">
        <v>61</v>
      </c>
      <c r="O4" s="3">
        <v>25</v>
      </c>
      <c r="P4" s="3">
        <v>30</v>
      </c>
      <c r="Q4" s="3">
        <v>6</v>
      </c>
    </row>
    <row r="5" spans="2:17" ht="9">
      <c r="B5" s="9" t="s">
        <v>22</v>
      </c>
      <c r="C5" s="3">
        <v>982</v>
      </c>
      <c r="D5" s="3">
        <v>11122</v>
      </c>
      <c r="E5" s="3">
        <v>1417</v>
      </c>
      <c r="F5" s="3">
        <v>587</v>
      </c>
      <c r="G5" s="3">
        <v>1936</v>
      </c>
      <c r="H5" s="3">
        <v>122</v>
      </c>
      <c r="I5" s="3">
        <v>2590</v>
      </c>
      <c r="J5" s="3">
        <v>7362</v>
      </c>
      <c r="K5" s="3">
        <v>205</v>
      </c>
      <c r="L5" s="3">
        <v>46</v>
      </c>
      <c r="M5" s="3">
        <v>108</v>
      </c>
      <c r="N5" s="3">
        <v>210</v>
      </c>
      <c r="O5" s="3">
        <v>1632</v>
      </c>
      <c r="P5" s="3">
        <v>206</v>
      </c>
      <c r="Q5" s="3">
        <v>18</v>
      </c>
    </row>
    <row r="6" spans="2:17" ht="9">
      <c r="B6" s="9" t="s">
        <v>23</v>
      </c>
      <c r="C6" s="3">
        <v>345</v>
      </c>
      <c r="D6" s="3">
        <v>4457</v>
      </c>
      <c r="E6" s="3">
        <v>480</v>
      </c>
      <c r="F6" s="3">
        <v>227</v>
      </c>
      <c r="G6" s="3">
        <v>1095</v>
      </c>
      <c r="H6" s="3">
        <v>44</v>
      </c>
      <c r="I6" s="3">
        <v>970</v>
      </c>
      <c r="J6" s="3">
        <v>2746</v>
      </c>
      <c r="K6" s="3">
        <v>62</v>
      </c>
      <c r="L6" s="3">
        <v>21</v>
      </c>
      <c r="M6" s="3">
        <v>54</v>
      </c>
      <c r="N6" s="3">
        <v>98</v>
      </c>
      <c r="O6" s="3">
        <v>112</v>
      </c>
      <c r="P6" s="3">
        <v>52</v>
      </c>
      <c r="Q6" s="3">
        <v>6</v>
      </c>
    </row>
    <row r="7" spans="2:17" ht="9">
      <c r="B7" s="9" t="s">
        <v>24</v>
      </c>
      <c r="C7" s="3">
        <v>644</v>
      </c>
      <c r="D7" s="3">
        <v>7311</v>
      </c>
      <c r="E7" s="3">
        <v>1146</v>
      </c>
      <c r="F7" s="3">
        <v>504</v>
      </c>
      <c r="G7" s="3">
        <v>1447</v>
      </c>
      <c r="H7" s="3">
        <v>116</v>
      </c>
      <c r="I7" s="3">
        <v>1764</v>
      </c>
      <c r="J7" s="3">
        <v>3201</v>
      </c>
      <c r="K7" s="3">
        <v>84</v>
      </c>
      <c r="L7" s="3">
        <v>36</v>
      </c>
      <c r="M7" s="3">
        <v>71</v>
      </c>
      <c r="N7" s="3">
        <v>135</v>
      </c>
      <c r="O7" s="3">
        <v>908</v>
      </c>
      <c r="P7" s="3">
        <v>119</v>
      </c>
      <c r="Q7" s="3">
        <v>20</v>
      </c>
    </row>
    <row r="8" spans="2:17" ht="9">
      <c r="B8" s="9" t="s">
        <v>25</v>
      </c>
      <c r="C8" s="3">
        <v>1053</v>
      </c>
      <c r="D8" s="3">
        <v>9550</v>
      </c>
      <c r="E8" s="3">
        <v>961</v>
      </c>
      <c r="F8" s="3">
        <v>540</v>
      </c>
      <c r="G8" s="3">
        <v>2147</v>
      </c>
      <c r="H8" s="3">
        <v>92</v>
      </c>
      <c r="I8" s="3">
        <v>2506</v>
      </c>
      <c r="J8" s="3">
        <v>6153</v>
      </c>
      <c r="K8" s="3">
        <v>120</v>
      </c>
      <c r="L8" s="3">
        <v>63</v>
      </c>
      <c r="M8" s="3">
        <v>93</v>
      </c>
      <c r="N8" s="3">
        <v>204</v>
      </c>
      <c r="O8" s="3">
        <v>217</v>
      </c>
      <c r="P8" s="3">
        <v>117</v>
      </c>
      <c r="Q8" s="3">
        <v>16</v>
      </c>
    </row>
    <row r="9" spans="2:17" ht="9">
      <c r="B9" s="9" t="s">
        <v>26</v>
      </c>
      <c r="C9" s="3">
        <v>640</v>
      </c>
      <c r="D9" s="3">
        <v>7331</v>
      </c>
      <c r="E9" s="3">
        <v>933</v>
      </c>
      <c r="F9" s="3">
        <v>423</v>
      </c>
      <c r="G9" s="3">
        <v>1167</v>
      </c>
      <c r="H9" s="3">
        <v>67</v>
      </c>
      <c r="I9" s="3">
        <v>2125</v>
      </c>
      <c r="J9" s="3">
        <v>3816</v>
      </c>
      <c r="K9" s="3">
        <v>86</v>
      </c>
      <c r="L9" s="3">
        <v>22</v>
      </c>
      <c r="M9" s="3">
        <v>64</v>
      </c>
      <c r="N9" s="3">
        <v>139</v>
      </c>
      <c r="O9" s="3">
        <v>289</v>
      </c>
      <c r="P9" s="3">
        <v>87</v>
      </c>
      <c r="Q9" s="3">
        <v>8</v>
      </c>
    </row>
    <row r="10" spans="2:17" ht="9">
      <c r="B10" s="9" t="s">
        <v>27</v>
      </c>
      <c r="C10" s="3">
        <v>677</v>
      </c>
      <c r="D10" s="3">
        <v>11806</v>
      </c>
      <c r="E10" s="3">
        <v>1546</v>
      </c>
      <c r="F10" s="3">
        <v>693</v>
      </c>
      <c r="G10" s="3">
        <v>2345</v>
      </c>
      <c r="H10" s="3">
        <v>84</v>
      </c>
      <c r="I10" s="3">
        <v>2974</v>
      </c>
      <c r="J10" s="3">
        <v>4614</v>
      </c>
      <c r="K10" s="3">
        <v>76</v>
      </c>
      <c r="L10" s="3">
        <v>29</v>
      </c>
      <c r="M10" s="3">
        <v>62</v>
      </c>
      <c r="N10" s="3">
        <v>169</v>
      </c>
      <c r="O10" s="3">
        <v>582</v>
      </c>
      <c r="P10" s="3">
        <v>103</v>
      </c>
      <c r="Q10" s="3">
        <v>22</v>
      </c>
    </row>
    <row r="11" spans="1:17" ht="9">
      <c r="A11" s="4" t="s">
        <v>29</v>
      </c>
      <c r="C11" s="3">
        <v>4545</v>
      </c>
      <c r="D11" s="3">
        <v>53171</v>
      </c>
      <c r="E11" s="3">
        <v>6755</v>
      </c>
      <c r="F11" s="3">
        <v>3124</v>
      </c>
      <c r="G11" s="3">
        <v>10750</v>
      </c>
      <c r="H11" s="3">
        <v>571</v>
      </c>
      <c r="I11" s="3">
        <v>13366</v>
      </c>
      <c r="J11" s="3">
        <v>29166</v>
      </c>
      <c r="K11" s="3">
        <v>691</v>
      </c>
      <c r="L11" s="3">
        <v>233</v>
      </c>
      <c r="M11" s="3">
        <v>500</v>
      </c>
      <c r="N11" s="3">
        <v>1016</v>
      </c>
      <c r="O11" s="3">
        <v>3765</v>
      </c>
      <c r="P11" s="3">
        <v>714</v>
      </c>
      <c r="Q11" s="3">
        <v>96</v>
      </c>
    </row>
    <row r="12" spans="2:17" s="6" customFormat="1" ht="9">
      <c r="B12" s="10" t="s">
        <v>133</v>
      </c>
      <c r="C12" s="7">
        <f>C11/67595</f>
        <v>0.06723870108735854</v>
      </c>
      <c r="D12" s="7">
        <f>D11/67595</f>
        <v>0.7866114357570826</v>
      </c>
      <c r="E12" s="7">
        <f>E11/67595</f>
        <v>0.09993342702862638</v>
      </c>
      <c r="F12" s="7">
        <f>F11/67595</f>
        <v>0.046216436126932464</v>
      </c>
      <c r="G12" s="7">
        <f aca="true" t="shared" si="0" ref="G12:M12">G11/55277</f>
        <v>0.1944750981420844</v>
      </c>
      <c r="H12" s="7">
        <f t="shared" si="0"/>
        <v>0.010329793585035368</v>
      </c>
      <c r="I12" s="7">
        <f t="shared" si="0"/>
        <v>0.24180038714112562</v>
      </c>
      <c r="J12" s="7">
        <f t="shared" si="0"/>
        <v>0.5276335546429799</v>
      </c>
      <c r="K12" s="7">
        <f t="shared" si="0"/>
        <v>0.012500678401505146</v>
      </c>
      <c r="L12" s="7">
        <f t="shared" si="0"/>
        <v>0.004215134685312155</v>
      </c>
      <c r="M12" s="7">
        <f t="shared" si="0"/>
        <v>0.009045353401957414</v>
      </c>
      <c r="N12" s="7">
        <f>N11/1016</f>
        <v>1</v>
      </c>
      <c r="O12" s="7">
        <f>O11/3765</f>
        <v>1</v>
      </c>
      <c r="P12" s="7">
        <v>1</v>
      </c>
      <c r="Q12" s="7">
        <f>Q11/96</f>
        <v>1</v>
      </c>
    </row>
    <row r="13" spans="2:17" ht="4.5" customHeight="1"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9">
      <c r="A14" s="5" t="s">
        <v>39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9">
      <c r="B15" s="9" t="s">
        <v>30</v>
      </c>
      <c r="C15" s="3">
        <v>1277</v>
      </c>
      <c r="D15" s="3">
        <v>10893</v>
      </c>
      <c r="E15" s="3">
        <v>1290</v>
      </c>
      <c r="F15" s="3">
        <v>681</v>
      </c>
      <c r="G15" s="3">
        <v>5606</v>
      </c>
      <c r="H15" s="3">
        <v>119</v>
      </c>
      <c r="I15" s="3">
        <v>3305</v>
      </c>
      <c r="J15" s="3">
        <v>11987</v>
      </c>
      <c r="K15" s="3">
        <v>175</v>
      </c>
      <c r="L15" s="3">
        <v>31</v>
      </c>
      <c r="M15" s="3">
        <v>147</v>
      </c>
      <c r="N15" s="3">
        <v>305</v>
      </c>
      <c r="O15" s="3">
        <v>709</v>
      </c>
      <c r="P15" s="3">
        <v>194</v>
      </c>
      <c r="Q15" s="3">
        <v>28</v>
      </c>
    </row>
    <row r="16" spans="2:17" ht="9">
      <c r="B16" s="9" t="s">
        <v>31</v>
      </c>
      <c r="C16" s="3">
        <v>154</v>
      </c>
      <c r="D16" s="3">
        <v>1007</v>
      </c>
      <c r="E16" s="3">
        <v>209</v>
      </c>
      <c r="F16" s="3">
        <v>147</v>
      </c>
      <c r="G16" s="3">
        <v>743</v>
      </c>
      <c r="H16" s="3">
        <v>16</v>
      </c>
      <c r="I16" s="3">
        <v>475</v>
      </c>
      <c r="J16" s="3">
        <v>1163</v>
      </c>
      <c r="K16" s="3">
        <v>17</v>
      </c>
      <c r="L16" s="3">
        <v>6</v>
      </c>
      <c r="M16" s="3">
        <v>23</v>
      </c>
      <c r="N16" s="3">
        <v>56</v>
      </c>
      <c r="O16" s="3">
        <v>11</v>
      </c>
      <c r="P16" s="3">
        <v>18</v>
      </c>
      <c r="Q16" s="3">
        <v>1</v>
      </c>
    </row>
    <row r="17" spans="2:17" ht="9">
      <c r="B17" s="9" t="s">
        <v>32</v>
      </c>
      <c r="C17" s="3">
        <v>179</v>
      </c>
      <c r="D17" s="3">
        <v>1127</v>
      </c>
      <c r="E17" s="3">
        <v>204</v>
      </c>
      <c r="F17" s="3">
        <v>117</v>
      </c>
      <c r="G17" s="3">
        <v>927</v>
      </c>
      <c r="H17" s="3">
        <v>20</v>
      </c>
      <c r="I17" s="3">
        <v>351</v>
      </c>
      <c r="J17" s="3">
        <v>1662</v>
      </c>
      <c r="K17" s="3">
        <v>33</v>
      </c>
      <c r="L17" s="3">
        <v>10</v>
      </c>
      <c r="M17" s="3">
        <v>33</v>
      </c>
      <c r="N17" s="3">
        <v>34</v>
      </c>
      <c r="O17" s="3">
        <v>9</v>
      </c>
      <c r="P17" s="3">
        <v>10</v>
      </c>
      <c r="Q17" s="3">
        <v>1</v>
      </c>
    </row>
    <row r="18" spans="2:17" ht="9">
      <c r="B18" s="9" t="s">
        <v>33</v>
      </c>
      <c r="C18" s="3">
        <v>1075</v>
      </c>
      <c r="D18" s="3">
        <v>8854</v>
      </c>
      <c r="E18" s="3">
        <v>1401</v>
      </c>
      <c r="F18" s="3">
        <v>823</v>
      </c>
      <c r="G18" s="3">
        <v>5640</v>
      </c>
      <c r="H18" s="3">
        <v>172</v>
      </c>
      <c r="I18" s="3">
        <v>3133</v>
      </c>
      <c r="J18" s="3">
        <v>12311</v>
      </c>
      <c r="K18" s="3">
        <v>447</v>
      </c>
      <c r="L18" s="3">
        <v>69</v>
      </c>
      <c r="M18" s="3">
        <v>204</v>
      </c>
      <c r="N18" s="3">
        <v>292</v>
      </c>
      <c r="O18" s="3">
        <v>120</v>
      </c>
      <c r="P18" s="3">
        <v>152</v>
      </c>
      <c r="Q18" s="3">
        <v>9</v>
      </c>
    </row>
    <row r="19" spans="2:17" ht="9">
      <c r="B19" s="9" t="s">
        <v>34</v>
      </c>
      <c r="C19" s="3">
        <v>473</v>
      </c>
      <c r="D19" s="3">
        <v>2972</v>
      </c>
      <c r="E19" s="3">
        <v>569</v>
      </c>
      <c r="F19" s="3">
        <v>278</v>
      </c>
      <c r="G19" s="3">
        <v>2166</v>
      </c>
      <c r="H19" s="3">
        <v>80</v>
      </c>
      <c r="I19" s="3">
        <v>1408</v>
      </c>
      <c r="J19" s="3">
        <v>2577</v>
      </c>
      <c r="K19" s="3">
        <v>147</v>
      </c>
      <c r="L19" s="3">
        <v>14</v>
      </c>
      <c r="M19" s="3">
        <v>98</v>
      </c>
      <c r="N19" s="3">
        <v>137</v>
      </c>
      <c r="O19" s="3">
        <v>66</v>
      </c>
      <c r="P19" s="3">
        <v>96</v>
      </c>
      <c r="Q19" s="3">
        <v>25</v>
      </c>
    </row>
    <row r="20" spans="2:17" ht="9">
      <c r="B20" s="9" t="s">
        <v>35</v>
      </c>
      <c r="C20" s="3">
        <v>374</v>
      </c>
      <c r="D20" s="3">
        <v>2826</v>
      </c>
      <c r="E20" s="3">
        <v>555</v>
      </c>
      <c r="F20" s="3">
        <v>318</v>
      </c>
      <c r="G20" s="3">
        <v>2316</v>
      </c>
      <c r="H20" s="3">
        <v>46</v>
      </c>
      <c r="I20" s="3">
        <v>1330</v>
      </c>
      <c r="J20" s="3">
        <v>5063</v>
      </c>
      <c r="K20" s="3">
        <v>64</v>
      </c>
      <c r="L20" s="3">
        <v>13</v>
      </c>
      <c r="M20" s="3">
        <v>51</v>
      </c>
      <c r="N20" s="3">
        <v>76</v>
      </c>
      <c r="O20" s="3">
        <v>22</v>
      </c>
      <c r="P20" s="3">
        <v>33</v>
      </c>
      <c r="Q20" s="3">
        <v>3</v>
      </c>
    </row>
    <row r="21" spans="2:17" ht="9">
      <c r="B21" s="9" t="s">
        <v>36</v>
      </c>
      <c r="C21" s="3">
        <v>476</v>
      </c>
      <c r="D21" s="3">
        <v>3704</v>
      </c>
      <c r="E21" s="3">
        <v>561</v>
      </c>
      <c r="F21" s="3">
        <v>376</v>
      </c>
      <c r="G21" s="3">
        <v>2069</v>
      </c>
      <c r="H21" s="3">
        <v>67</v>
      </c>
      <c r="I21" s="3">
        <v>977</v>
      </c>
      <c r="J21" s="3">
        <v>3930</v>
      </c>
      <c r="K21" s="3">
        <v>114</v>
      </c>
      <c r="L21" s="3">
        <v>29</v>
      </c>
      <c r="M21" s="3">
        <v>74</v>
      </c>
      <c r="N21" s="3">
        <v>214</v>
      </c>
      <c r="O21" s="3">
        <v>26</v>
      </c>
      <c r="P21" s="3">
        <v>72</v>
      </c>
      <c r="Q21" s="3">
        <v>11</v>
      </c>
    </row>
    <row r="22" spans="2:17" ht="9">
      <c r="B22" s="9" t="s">
        <v>37</v>
      </c>
      <c r="C22" s="3">
        <v>158</v>
      </c>
      <c r="D22" s="3">
        <v>1265</v>
      </c>
      <c r="E22" s="3">
        <v>222</v>
      </c>
      <c r="F22" s="3">
        <v>110</v>
      </c>
      <c r="G22" s="3">
        <v>601</v>
      </c>
      <c r="H22" s="3">
        <v>40</v>
      </c>
      <c r="I22" s="3">
        <v>378</v>
      </c>
      <c r="J22" s="3">
        <v>927</v>
      </c>
      <c r="K22" s="3">
        <v>51</v>
      </c>
      <c r="L22" s="3">
        <v>15</v>
      </c>
      <c r="M22" s="3">
        <v>37</v>
      </c>
      <c r="N22" s="3">
        <v>81</v>
      </c>
      <c r="O22" s="3">
        <v>56</v>
      </c>
      <c r="P22" s="3">
        <v>53</v>
      </c>
      <c r="Q22" s="3">
        <v>7</v>
      </c>
    </row>
    <row r="23" spans="2:17" ht="9">
      <c r="B23" s="9" t="s">
        <v>27</v>
      </c>
      <c r="C23" s="3">
        <v>138</v>
      </c>
      <c r="D23" s="3">
        <v>1200</v>
      </c>
      <c r="E23" s="3">
        <v>202</v>
      </c>
      <c r="F23" s="3">
        <v>130</v>
      </c>
      <c r="G23" s="3">
        <v>707</v>
      </c>
      <c r="H23" s="3">
        <v>15</v>
      </c>
      <c r="I23" s="3">
        <v>630</v>
      </c>
      <c r="J23" s="3">
        <v>1446</v>
      </c>
      <c r="K23" s="3">
        <v>15</v>
      </c>
      <c r="L23" s="3">
        <v>6</v>
      </c>
      <c r="M23" s="3">
        <v>12</v>
      </c>
      <c r="N23" s="3">
        <v>27</v>
      </c>
      <c r="O23" s="3">
        <v>19</v>
      </c>
      <c r="P23" s="3">
        <v>17</v>
      </c>
      <c r="Q23" s="3">
        <v>1</v>
      </c>
    </row>
    <row r="24" spans="2:17" ht="9">
      <c r="B24" s="9" t="s">
        <v>38</v>
      </c>
      <c r="C24" s="3">
        <v>465</v>
      </c>
      <c r="D24" s="3">
        <v>2439</v>
      </c>
      <c r="E24" s="3">
        <v>383</v>
      </c>
      <c r="F24" s="3">
        <v>207</v>
      </c>
      <c r="G24" s="3">
        <v>1364</v>
      </c>
      <c r="H24" s="3">
        <v>34</v>
      </c>
      <c r="I24" s="3">
        <v>849</v>
      </c>
      <c r="J24" s="3">
        <v>2927</v>
      </c>
      <c r="K24" s="3">
        <v>50</v>
      </c>
      <c r="L24" s="3">
        <v>6</v>
      </c>
      <c r="M24" s="3">
        <v>35</v>
      </c>
      <c r="N24" s="3">
        <v>116</v>
      </c>
      <c r="O24" s="3">
        <v>36</v>
      </c>
      <c r="P24" s="3">
        <v>46</v>
      </c>
      <c r="Q24" s="3">
        <v>4</v>
      </c>
    </row>
    <row r="25" spans="1:17" ht="9">
      <c r="A25" s="4" t="s">
        <v>29</v>
      </c>
      <c r="C25" s="3">
        <v>4769</v>
      </c>
      <c r="D25" s="3">
        <v>36287</v>
      </c>
      <c r="E25" s="3">
        <v>5596</v>
      </c>
      <c r="F25" s="3">
        <v>3187</v>
      </c>
      <c r="G25" s="3">
        <v>22139</v>
      </c>
      <c r="H25" s="3">
        <v>609</v>
      </c>
      <c r="I25" s="3">
        <v>12836</v>
      </c>
      <c r="J25" s="3">
        <v>43993</v>
      </c>
      <c r="K25" s="3">
        <v>1113</v>
      </c>
      <c r="L25" s="3">
        <v>199</v>
      </c>
      <c r="M25" s="3">
        <v>714</v>
      </c>
      <c r="N25" s="3">
        <v>1338</v>
      </c>
      <c r="O25" s="3">
        <v>1074</v>
      </c>
      <c r="P25" s="3">
        <v>691</v>
      </c>
      <c r="Q25" s="3">
        <v>90</v>
      </c>
    </row>
    <row r="26" spans="2:17" s="6" customFormat="1" ht="9">
      <c r="B26" s="10" t="s">
        <v>133</v>
      </c>
      <c r="C26" s="7">
        <f>C25/49839</f>
        <v>0.09568811573265916</v>
      </c>
      <c r="D26" s="7">
        <f>D25/49839</f>
        <v>0.7280844318706234</v>
      </c>
      <c r="E26" s="7">
        <f>E25/49839</f>
        <v>0.11228154657998755</v>
      </c>
      <c r="F26" s="7">
        <f>F25/49839</f>
        <v>0.06394590581672988</v>
      </c>
      <c r="G26" s="7">
        <f aca="true" t="shared" si="1" ref="G26:M26">G25/81603</f>
        <v>0.27130130019729665</v>
      </c>
      <c r="H26" s="7">
        <f t="shared" si="1"/>
        <v>0.007462960920554392</v>
      </c>
      <c r="I26" s="7">
        <f t="shared" si="1"/>
        <v>0.15729813854882785</v>
      </c>
      <c r="J26" s="7">
        <f t="shared" si="1"/>
        <v>0.539110081737191</v>
      </c>
      <c r="K26" s="7">
        <f t="shared" si="1"/>
        <v>0.013639204441013198</v>
      </c>
      <c r="L26" s="7">
        <f t="shared" si="1"/>
        <v>0.00243863583446687</v>
      </c>
      <c r="M26" s="7">
        <f t="shared" si="1"/>
        <v>0.008749678320649976</v>
      </c>
      <c r="N26" s="7">
        <f>N25/1338</f>
        <v>1</v>
      </c>
      <c r="O26" s="7">
        <f>O25/1074</f>
        <v>1</v>
      </c>
      <c r="P26" s="7">
        <v>1</v>
      </c>
      <c r="Q26" s="7">
        <f>Q25/90</f>
        <v>1</v>
      </c>
    </row>
    <row r="27" spans="2:17" ht="4.5" customHeight="1"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9">
      <c r="A28" s="5" t="s">
        <v>45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ht="9">
      <c r="B29" s="9" t="s">
        <v>40</v>
      </c>
      <c r="C29" s="3">
        <v>12</v>
      </c>
      <c r="D29" s="3">
        <v>155</v>
      </c>
      <c r="E29" s="3">
        <v>12</v>
      </c>
      <c r="F29" s="3">
        <v>5</v>
      </c>
      <c r="G29" s="3">
        <v>72</v>
      </c>
      <c r="H29" s="3">
        <v>2</v>
      </c>
      <c r="I29" s="3">
        <v>53</v>
      </c>
      <c r="J29" s="3">
        <v>96</v>
      </c>
      <c r="K29" s="3">
        <v>8</v>
      </c>
      <c r="L29" s="3">
        <v>1</v>
      </c>
      <c r="M29" s="3">
        <v>2</v>
      </c>
      <c r="N29" s="3">
        <v>10</v>
      </c>
      <c r="O29" s="3">
        <v>4</v>
      </c>
      <c r="P29" s="3">
        <v>2</v>
      </c>
      <c r="Q29" s="3">
        <v>2</v>
      </c>
    </row>
    <row r="30" spans="2:17" ht="9">
      <c r="B30" s="9" t="s">
        <v>41</v>
      </c>
      <c r="C30" s="3">
        <v>296</v>
      </c>
      <c r="D30" s="3">
        <v>2701</v>
      </c>
      <c r="E30" s="3">
        <v>357</v>
      </c>
      <c r="F30" s="3">
        <v>228</v>
      </c>
      <c r="G30" s="3">
        <v>1417</v>
      </c>
      <c r="H30" s="3">
        <v>20</v>
      </c>
      <c r="I30" s="3">
        <v>1067</v>
      </c>
      <c r="J30" s="3">
        <v>2732</v>
      </c>
      <c r="K30" s="3">
        <v>33</v>
      </c>
      <c r="L30" s="3">
        <v>13</v>
      </c>
      <c r="M30" s="3">
        <v>25</v>
      </c>
      <c r="N30" s="3">
        <v>82</v>
      </c>
      <c r="O30" s="3">
        <v>31</v>
      </c>
      <c r="P30" s="3">
        <v>44</v>
      </c>
      <c r="Q30" s="3">
        <v>6</v>
      </c>
    </row>
    <row r="31" spans="2:17" ht="9">
      <c r="B31" s="9" t="s">
        <v>42</v>
      </c>
      <c r="C31" s="3">
        <v>342</v>
      </c>
      <c r="D31" s="3">
        <v>3314</v>
      </c>
      <c r="E31" s="3">
        <v>524</v>
      </c>
      <c r="F31" s="3">
        <v>203</v>
      </c>
      <c r="G31" s="3">
        <v>1789</v>
      </c>
      <c r="H31" s="3">
        <v>71</v>
      </c>
      <c r="I31" s="3">
        <v>1097</v>
      </c>
      <c r="J31" s="3">
        <v>3430</v>
      </c>
      <c r="K31" s="3">
        <v>57</v>
      </c>
      <c r="L31" s="3">
        <v>13</v>
      </c>
      <c r="M31" s="3">
        <v>54</v>
      </c>
      <c r="N31" s="3">
        <v>111</v>
      </c>
      <c r="O31" s="3">
        <v>91</v>
      </c>
      <c r="P31" s="3">
        <v>116</v>
      </c>
      <c r="Q31" s="3">
        <v>14</v>
      </c>
    </row>
    <row r="32" spans="2:17" ht="9">
      <c r="B32" s="9" t="s">
        <v>43</v>
      </c>
      <c r="C32" s="3">
        <v>3264</v>
      </c>
      <c r="D32" s="3">
        <v>30758</v>
      </c>
      <c r="E32" s="3">
        <v>4391</v>
      </c>
      <c r="F32" s="3">
        <v>2475</v>
      </c>
      <c r="G32" s="3">
        <v>14888</v>
      </c>
      <c r="H32" s="3">
        <v>295</v>
      </c>
      <c r="I32" s="3">
        <v>16093</v>
      </c>
      <c r="J32" s="3">
        <v>34274</v>
      </c>
      <c r="K32" s="3">
        <v>355</v>
      </c>
      <c r="L32" s="3">
        <v>93</v>
      </c>
      <c r="M32" s="3">
        <v>288</v>
      </c>
      <c r="N32" s="3">
        <v>613</v>
      </c>
      <c r="O32" s="3">
        <v>402</v>
      </c>
      <c r="P32" s="3">
        <v>356</v>
      </c>
      <c r="Q32" s="3">
        <v>27</v>
      </c>
    </row>
    <row r="33" spans="2:17" ht="9">
      <c r="B33" s="9" t="s">
        <v>44</v>
      </c>
      <c r="C33" s="3">
        <v>99</v>
      </c>
      <c r="D33" s="3">
        <v>814</v>
      </c>
      <c r="E33" s="3">
        <v>115</v>
      </c>
      <c r="F33" s="3">
        <v>56</v>
      </c>
      <c r="G33" s="3">
        <v>363</v>
      </c>
      <c r="H33" s="3">
        <v>12</v>
      </c>
      <c r="I33" s="3">
        <v>294</v>
      </c>
      <c r="J33" s="3">
        <v>805</v>
      </c>
      <c r="K33" s="3">
        <v>10</v>
      </c>
      <c r="L33" s="3">
        <v>4</v>
      </c>
      <c r="M33" s="3">
        <v>7</v>
      </c>
      <c r="N33" s="3">
        <v>18</v>
      </c>
      <c r="O33" s="3">
        <v>13</v>
      </c>
      <c r="P33" s="3">
        <v>8</v>
      </c>
      <c r="Q33" s="3">
        <v>0</v>
      </c>
    </row>
    <row r="34" spans="1:17" ht="9">
      <c r="A34" s="4" t="s">
        <v>29</v>
      </c>
      <c r="C34" s="3">
        <v>4013</v>
      </c>
      <c r="D34" s="3">
        <v>37742</v>
      </c>
      <c r="E34" s="3">
        <v>5399</v>
      </c>
      <c r="F34" s="3">
        <v>2967</v>
      </c>
      <c r="G34" s="3">
        <v>18529</v>
      </c>
      <c r="H34" s="3">
        <v>400</v>
      </c>
      <c r="I34" s="3">
        <v>18604</v>
      </c>
      <c r="J34" s="3">
        <v>41337</v>
      </c>
      <c r="K34" s="3">
        <v>463</v>
      </c>
      <c r="L34" s="3">
        <v>124</v>
      </c>
      <c r="M34" s="3">
        <v>376</v>
      </c>
      <c r="N34" s="3">
        <v>834</v>
      </c>
      <c r="O34" s="3">
        <v>541</v>
      </c>
      <c r="P34" s="3">
        <v>526</v>
      </c>
      <c r="Q34" s="3">
        <v>49</v>
      </c>
    </row>
    <row r="35" spans="2:17" s="6" customFormat="1" ht="9">
      <c r="B35" s="10" t="s">
        <v>133</v>
      </c>
      <c r="C35" s="7">
        <f>C34/50121</f>
        <v>0.08006623969992618</v>
      </c>
      <c r="D35" s="7">
        <f>D34/50121</f>
        <v>0.7530176971728417</v>
      </c>
      <c r="E35" s="7">
        <f>E34/50121</f>
        <v>0.10771931924742124</v>
      </c>
      <c r="F35" s="7">
        <f>F34/50121</f>
        <v>0.05919674387981086</v>
      </c>
      <c r="G35" s="7">
        <f aca="true" t="shared" si="2" ref="G35:M35">G34/79833</f>
        <v>0.2320970024927035</v>
      </c>
      <c r="H35" s="7">
        <f t="shared" si="2"/>
        <v>0.0050104593338594315</v>
      </c>
      <c r="I35" s="7">
        <f t="shared" si="2"/>
        <v>0.23303646361780217</v>
      </c>
      <c r="J35" s="7">
        <f t="shared" si="2"/>
        <v>0.5177933937093683</v>
      </c>
      <c r="K35" s="7">
        <f t="shared" si="2"/>
        <v>0.005799606678942292</v>
      </c>
      <c r="L35" s="7">
        <f t="shared" si="2"/>
        <v>0.0015532423934964238</v>
      </c>
      <c r="M35" s="7">
        <f t="shared" si="2"/>
        <v>0.004709831773827866</v>
      </c>
      <c r="N35" s="7">
        <f>N34/834</f>
        <v>1</v>
      </c>
      <c r="O35" s="7">
        <f>O34/541</f>
        <v>1</v>
      </c>
      <c r="P35" s="7">
        <f>P34/526</f>
        <v>1</v>
      </c>
      <c r="Q35" s="7">
        <f>Q34/49</f>
        <v>1</v>
      </c>
    </row>
    <row r="36" spans="2:17" ht="4.5" customHeight="1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9">
      <c r="A37" s="5" t="s">
        <v>53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9">
      <c r="B38" s="9" t="s">
        <v>30</v>
      </c>
      <c r="C38" s="3">
        <v>459</v>
      </c>
      <c r="D38" s="3">
        <v>2605</v>
      </c>
      <c r="E38" s="3">
        <v>283</v>
      </c>
      <c r="F38" s="3">
        <v>192</v>
      </c>
      <c r="G38" s="3">
        <v>1241</v>
      </c>
      <c r="H38" s="3">
        <v>36</v>
      </c>
      <c r="I38" s="3">
        <v>786</v>
      </c>
      <c r="J38" s="3">
        <v>3133</v>
      </c>
      <c r="K38" s="3">
        <v>51</v>
      </c>
      <c r="L38" s="3">
        <v>7</v>
      </c>
      <c r="M38" s="3">
        <v>44</v>
      </c>
      <c r="N38" s="3">
        <v>113</v>
      </c>
      <c r="O38" s="3">
        <v>35</v>
      </c>
      <c r="P38" s="3">
        <v>37</v>
      </c>
      <c r="Q38" s="3">
        <v>4</v>
      </c>
    </row>
    <row r="39" spans="2:17" ht="9">
      <c r="B39" s="9" t="s">
        <v>46</v>
      </c>
      <c r="C39" s="3">
        <v>1132</v>
      </c>
      <c r="D39" s="3">
        <v>9333</v>
      </c>
      <c r="E39" s="3">
        <v>1465</v>
      </c>
      <c r="F39" s="3">
        <v>790</v>
      </c>
      <c r="G39" s="3">
        <v>5715</v>
      </c>
      <c r="H39" s="3">
        <v>138</v>
      </c>
      <c r="I39" s="3">
        <v>5765</v>
      </c>
      <c r="J39" s="3">
        <v>13306</v>
      </c>
      <c r="K39" s="3">
        <v>157</v>
      </c>
      <c r="L39" s="3">
        <v>42</v>
      </c>
      <c r="M39" s="3">
        <v>145</v>
      </c>
      <c r="N39" s="3">
        <v>353</v>
      </c>
      <c r="O39" s="3">
        <v>227</v>
      </c>
      <c r="P39" s="3">
        <v>213</v>
      </c>
      <c r="Q39" s="3">
        <v>9</v>
      </c>
    </row>
    <row r="40" spans="2:17" ht="9">
      <c r="B40" s="9" t="s">
        <v>47</v>
      </c>
      <c r="C40" s="3">
        <v>268</v>
      </c>
      <c r="D40" s="3">
        <v>1833</v>
      </c>
      <c r="E40" s="3">
        <v>304</v>
      </c>
      <c r="F40" s="3">
        <v>164</v>
      </c>
      <c r="G40" s="3">
        <v>1086</v>
      </c>
      <c r="H40" s="3">
        <v>40</v>
      </c>
      <c r="I40" s="3">
        <v>848</v>
      </c>
      <c r="J40" s="3">
        <v>1686</v>
      </c>
      <c r="K40" s="3">
        <v>128</v>
      </c>
      <c r="L40" s="3">
        <v>17</v>
      </c>
      <c r="M40" s="3">
        <v>64</v>
      </c>
      <c r="N40" s="3">
        <v>118</v>
      </c>
      <c r="O40" s="3">
        <v>20</v>
      </c>
      <c r="P40" s="3">
        <v>24</v>
      </c>
      <c r="Q40" s="3">
        <v>4</v>
      </c>
    </row>
    <row r="41" spans="2:17" ht="9">
      <c r="B41" s="9" t="s">
        <v>48</v>
      </c>
      <c r="C41" s="3">
        <v>146</v>
      </c>
      <c r="D41" s="3">
        <v>703</v>
      </c>
      <c r="E41" s="3">
        <v>113</v>
      </c>
      <c r="F41" s="3">
        <v>64</v>
      </c>
      <c r="G41" s="3">
        <v>632</v>
      </c>
      <c r="H41" s="3">
        <v>20</v>
      </c>
      <c r="I41" s="3">
        <v>280</v>
      </c>
      <c r="J41" s="3">
        <v>666</v>
      </c>
      <c r="K41" s="3">
        <v>54</v>
      </c>
      <c r="L41" s="3">
        <v>6</v>
      </c>
      <c r="M41" s="3">
        <v>27</v>
      </c>
      <c r="N41" s="3">
        <v>37</v>
      </c>
      <c r="O41" s="3">
        <v>11</v>
      </c>
      <c r="P41" s="3">
        <v>17</v>
      </c>
      <c r="Q41" s="3">
        <v>0</v>
      </c>
    </row>
    <row r="42" spans="2:17" ht="9">
      <c r="B42" s="9" t="s">
        <v>49</v>
      </c>
      <c r="C42" s="3">
        <v>701</v>
      </c>
      <c r="D42" s="3">
        <v>7079</v>
      </c>
      <c r="E42" s="3">
        <v>832</v>
      </c>
      <c r="F42" s="3">
        <v>421</v>
      </c>
      <c r="G42" s="3">
        <v>3565</v>
      </c>
      <c r="H42" s="3">
        <v>91</v>
      </c>
      <c r="I42" s="3">
        <v>3641</v>
      </c>
      <c r="J42" s="3">
        <v>9618</v>
      </c>
      <c r="K42" s="3">
        <v>99</v>
      </c>
      <c r="L42" s="3">
        <v>21</v>
      </c>
      <c r="M42" s="3">
        <v>98</v>
      </c>
      <c r="N42" s="3">
        <v>192</v>
      </c>
      <c r="O42" s="3">
        <v>655</v>
      </c>
      <c r="P42" s="3">
        <v>163</v>
      </c>
      <c r="Q42" s="3">
        <v>12</v>
      </c>
    </row>
    <row r="43" spans="2:17" ht="9">
      <c r="B43" s="9" t="s">
        <v>50</v>
      </c>
      <c r="C43" s="3">
        <v>1412</v>
      </c>
      <c r="D43" s="3">
        <v>14988</v>
      </c>
      <c r="E43" s="3">
        <v>1955</v>
      </c>
      <c r="F43" s="3">
        <v>987</v>
      </c>
      <c r="G43" s="3">
        <v>9090</v>
      </c>
      <c r="H43" s="3">
        <v>211</v>
      </c>
      <c r="I43" s="3">
        <v>10336</v>
      </c>
      <c r="J43" s="3">
        <v>23312</v>
      </c>
      <c r="K43" s="3">
        <v>204</v>
      </c>
      <c r="L43" s="3">
        <v>55</v>
      </c>
      <c r="M43" s="3">
        <v>224</v>
      </c>
      <c r="N43" s="3">
        <v>287</v>
      </c>
      <c r="O43" s="3">
        <v>195</v>
      </c>
      <c r="P43" s="3">
        <v>220</v>
      </c>
      <c r="Q43" s="3">
        <v>23</v>
      </c>
    </row>
    <row r="44" spans="2:17" ht="9">
      <c r="B44" s="9" t="s">
        <v>51</v>
      </c>
      <c r="C44" s="3">
        <v>272</v>
      </c>
      <c r="D44" s="3">
        <v>1760</v>
      </c>
      <c r="E44" s="3">
        <v>234</v>
      </c>
      <c r="F44" s="3">
        <v>114</v>
      </c>
      <c r="G44" s="3">
        <v>977</v>
      </c>
      <c r="H44" s="3">
        <v>22</v>
      </c>
      <c r="I44" s="3">
        <v>709</v>
      </c>
      <c r="J44" s="3">
        <v>1806</v>
      </c>
      <c r="K44" s="3">
        <v>37</v>
      </c>
      <c r="L44" s="3">
        <v>10</v>
      </c>
      <c r="M44" s="3">
        <v>27</v>
      </c>
      <c r="N44" s="3">
        <v>62</v>
      </c>
      <c r="O44" s="3">
        <v>21</v>
      </c>
      <c r="P44" s="3">
        <v>30</v>
      </c>
      <c r="Q44" s="3">
        <v>4</v>
      </c>
    </row>
    <row r="45" spans="2:17" ht="9">
      <c r="B45" s="9" t="s">
        <v>43</v>
      </c>
      <c r="C45" s="3">
        <v>195</v>
      </c>
      <c r="D45" s="3">
        <v>1497</v>
      </c>
      <c r="E45" s="3">
        <v>206</v>
      </c>
      <c r="F45" s="3">
        <v>137</v>
      </c>
      <c r="G45" s="3">
        <v>904</v>
      </c>
      <c r="H45" s="3">
        <v>15</v>
      </c>
      <c r="I45" s="3">
        <v>831</v>
      </c>
      <c r="J45" s="3">
        <v>2222</v>
      </c>
      <c r="K45" s="3">
        <v>51</v>
      </c>
      <c r="L45" s="3">
        <v>20</v>
      </c>
      <c r="M45" s="3">
        <v>19</v>
      </c>
      <c r="N45" s="3">
        <v>35</v>
      </c>
      <c r="O45" s="3">
        <v>20</v>
      </c>
      <c r="P45" s="3">
        <v>22</v>
      </c>
      <c r="Q45" s="3">
        <v>0</v>
      </c>
    </row>
    <row r="46" spans="2:17" ht="9">
      <c r="B46" s="9" t="s">
        <v>52</v>
      </c>
      <c r="C46" s="3">
        <v>42</v>
      </c>
      <c r="D46" s="3">
        <v>328</v>
      </c>
      <c r="E46" s="3">
        <v>67</v>
      </c>
      <c r="F46" s="3">
        <v>34</v>
      </c>
      <c r="G46" s="3">
        <v>227</v>
      </c>
      <c r="H46" s="3">
        <v>1</v>
      </c>
      <c r="I46" s="3">
        <v>115</v>
      </c>
      <c r="J46" s="3">
        <v>315</v>
      </c>
      <c r="K46" s="3">
        <v>8</v>
      </c>
      <c r="L46" s="3">
        <v>0</v>
      </c>
      <c r="M46" s="3">
        <v>11</v>
      </c>
      <c r="N46" s="3">
        <v>18</v>
      </c>
      <c r="O46" s="3">
        <v>12</v>
      </c>
      <c r="P46" s="3">
        <v>14</v>
      </c>
      <c r="Q46" s="3">
        <v>0</v>
      </c>
    </row>
    <row r="47" spans="1:17" ht="9">
      <c r="A47" s="4" t="s">
        <v>29</v>
      </c>
      <c r="C47" s="3">
        <v>4627</v>
      </c>
      <c r="D47" s="3">
        <v>40126</v>
      </c>
      <c r="E47" s="3">
        <v>5459</v>
      </c>
      <c r="F47" s="3">
        <v>2903</v>
      </c>
      <c r="G47" s="3">
        <v>23437</v>
      </c>
      <c r="H47" s="3">
        <v>574</v>
      </c>
      <c r="I47" s="3">
        <v>23311</v>
      </c>
      <c r="J47" s="3">
        <v>56064</v>
      </c>
      <c r="K47" s="3">
        <v>789</v>
      </c>
      <c r="L47" s="3">
        <v>178</v>
      </c>
      <c r="M47" s="3">
        <v>659</v>
      </c>
      <c r="N47" s="3">
        <v>1215</v>
      </c>
      <c r="O47" s="3">
        <v>1196</v>
      </c>
      <c r="P47" s="3">
        <v>740</v>
      </c>
      <c r="Q47" s="3">
        <v>56</v>
      </c>
    </row>
    <row r="48" spans="2:17" s="6" customFormat="1" ht="9">
      <c r="B48" s="10" t="s">
        <v>133</v>
      </c>
      <c r="C48" s="7">
        <f>C47/53115</f>
        <v>0.08711286830462205</v>
      </c>
      <c r="D48" s="7">
        <f>D47/53115</f>
        <v>0.7554551444977878</v>
      </c>
      <c r="E48" s="7">
        <f>E47/53115</f>
        <v>0.10277699331638897</v>
      </c>
      <c r="F48" s="7">
        <f>F47/53115</f>
        <v>0.054654993881201167</v>
      </c>
      <c r="G48" s="7">
        <f aca="true" t="shared" si="3" ref="G48:M48">G47/105012</f>
        <v>0.2231840170647164</v>
      </c>
      <c r="H48" s="7">
        <f t="shared" si="3"/>
        <v>0.005466041976155106</v>
      </c>
      <c r="I48" s="7">
        <f t="shared" si="3"/>
        <v>0.22198415419190187</v>
      </c>
      <c r="J48" s="7">
        <f t="shared" si="3"/>
        <v>0.5338818420751914</v>
      </c>
      <c r="K48" s="7">
        <f t="shared" si="3"/>
        <v>0.0075134270369100675</v>
      </c>
      <c r="L48" s="7">
        <f t="shared" si="3"/>
        <v>0.0016950443758808518</v>
      </c>
      <c r="M48" s="7">
        <f t="shared" si="3"/>
        <v>0.006275473279244277</v>
      </c>
      <c r="N48" s="7">
        <f>N47/1215</f>
        <v>1</v>
      </c>
      <c r="O48" s="7">
        <f>O47/1196</f>
        <v>1</v>
      </c>
      <c r="P48" s="7">
        <v>1</v>
      </c>
      <c r="Q48" s="7">
        <f>Q47/56</f>
        <v>1</v>
      </c>
    </row>
    <row r="49" spans="2:17" ht="4.5" customHeight="1"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9">
      <c r="A50" s="5" t="s">
        <v>54</v>
      </c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9">
      <c r="B51" s="9" t="s">
        <v>43</v>
      </c>
      <c r="C51" s="3">
        <v>3260</v>
      </c>
      <c r="D51" s="3">
        <v>38282</v>
      </c>
      <c r="E51" s="3">
        <v>4539</v>
      </c>
      <c r="F51" s="3">
        <v>2478</v>
      </c>
      <c r="G51" s="3">
        <v>7920</v>
      </c>
      <c r="H51" s="3">
        <v>225</v>
      </c>
      <c r="I51" s="3">
        <v>8535</v>
      </c>
      <c r="J51" s="3">
        <v>16236</v>
      </c>
      <c r="K51" s="3">
        <v>261</v>
      </c>
      <c r="L51" s="3">
        <v>75</v>
      </c>
      <c r="M51" s="3">
        <v>358</v>
      </c>
      <c r="N51" s="3">
        <v>480</v>
      </c>
      <c r="O51" s="3">
        <v>779</v>
      </c>
      <c r="P51" s="3">
        <v>266</v>
      </c>
      <c r="Q51" s="3">
        <v>51</v>
      </c>
    </row>
    <row r="52" spans="1:17" ht="9">
      <c r="A52" s="4" t="s">
        <v>29</v>
      </c>
      <c r="C52" s="3">
        <v>3260</v>
      </c>
      <c r="D52" s="3">
        <v>38282</v>
      </c>
      <c r="E52" s="3">
        <v>4539</v>
      </c>
      <c r="F52" s="3">
        <v>2478</v>
      </c>
      <c r="G52" s="3">
        <v>7920</v>
      </c>
      <c r="H52" s="3">
        <v>225</v>
      </c>
      <c r="I52" s="3">
        <v>8535</v>
      </c>
      <c r="J52" s="3">
        <v>16236</v>
      </c>
      <c r="K52" s="3">
        <v>261</v>
      </c>
      <c r="L52" s="3">
        <v>75</v>
      </c>
      <c r="M52" s="3">
        <v>358</v>
      </c>
      <c r="N52" s="3">
        <v>480</v>
      </c>
      <c r="O52" s="3">
        <v>779</v>
      </c>
      <c r="P52" s="3">
        <v>266</v>
      </c>
      <c r="Q52" s="3">
        <v>51</v>
      </c>
    </row>
    <row r="53" spans="2:17" s="6" customFormat="1" ht="9">
      <c r="B53" s="10" t="s">
        <v>133</v>
      </c>
      <c r="C53" s="7">
        <f>C52/48559</f>
        <v>0.0671348256759818</v>
      </c>
      <c r="D53" s="7">
        <f>D52/48559</f>
        <v>0.7883605510821887</v>
      </c>
      <c r="E53" s="7">
        <f>E52/48559</f>
        <v>0.09347391832615994</v>
      </c>
      <c r="F53" s="7">
        <f>F52/48559</f>
        <v>0.0510307049156696</v>
      </c>
      <c r="G53" s="7">
        <f aca="true" t="shared" si="4" ref="G53:M53">G52/33610</f>
        <v>0.2356441535257364</v>
      </c>
      <c r="H53" s="7">
        <f t="shared" si="4"/>
        <v>0.00669443617970842</v>
      </c>
      <c r="I53" s="7">
        <f t="shared" si="4"/>
        <v>0.25394227908360606</v>
      </c>
      <c r="J53" s="7">
        <f t="shared" si="4"/>
        <v>0.4830705147277596</v>
      </c>
      <c r="K53" s="7">
        <f t="shared" si="4"/>
        <v>0.007765545968461767</v>
      </c>
      <c r="L53" s="7">
        <f t="shared" si="4"/>
        <v>0.0022314787265694733</v>
      </c>
      <c r="M53" s="7">
        <f t="shared" si="4"/>
        <v>0.010651591788158287</v>
      </c>
      <c r="N53" s="7">
        <f>N52/480</f>
        <v>1</v>
      </c>
      <c r="O53" s="7">
        <f>O52/779</f>
        <v>1</v>
      </c>
      <c r="P53" s="7">
        <f>P52/266</f>
        <v>1</v>
      </c>
      <c r="Q53" s="7">
        <f>Q52/51</f>
        <v>1</v>
      </c>
    </row>
    <row r="54" spans="2:17" ht="4.5" customHeight="1"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9">
      <c r="A55" s="5" t="s">
        <v>56</v>
      </c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9">
      <c r="B56" s="9" t="s">
        <v>55</v>
      </c>
      <c r="C56" s="3">
        <v>1505</v>
      </c>
      <c r="D56" s="3">
        <v>25333</v>
      </c>
      <c r="E56" s="3">
        <v>2202</v>
      </c>
      <c r="F56" s="3">
        <v>1167</v>
      </c>
      <c r="G56" s="3">
        <v>2553</v>
      </c>
      <c r="H56" s="3">
        <v>139</v>
      </c>
      <c r="I56" s="3">
        <v>7924</v>
      </c>
      <c r="J56" s="3">
        <v>10095</v>
      </c>
      <c r="K56" s="3">
        <v>109</v>
      </c>
      <c r="L56" s="3">
        <v>28</v>
      </c>
      <c r="M56" s="3">
        <v>92</v>
      </c>
      <c r="N56" s="3">
        <v>204</v>
      </c>
      <c r="O56" s="3">
        <v>1040</v>
      </c>
      <c r="P56" s="3">
        <v>225</v>
      </c>
      <c r="Q56" s="3">
        <v>33</v>
      </c>
    </row>
    <row r="57" spans="2:17" ht="9">
      <c r="B57" s="9" t="s">
        <v>26</v>
      </c>
      <c r="C57" s="3">
        <v>3445</v>
      </c>
      <c r="D57" s="3">
        <v>38565</v>
      </c>
      <c r="E57" s="3">
        <v>4529</v>
      </c>
      <c r="F57" s="3">
        <v>2457</v>
      </c>
      <c r="G57" s="3">
        <v>5324</v>
      </c>
      <c r="H57" s="3">
        <v>318</v>
      </c>
      <c r="I57" s="3">
        <v>8805</v>
      </c>
      <c r="J57" s="3">
        <v>17022</v>
      </c>
      <c r="K57" s="3">
        <v>358</v>
      </c>
      <c r="L57" s="3">
        <v>142</v>
      </c>
      <c r="M57" s="3">
        <v>332</v>
      </c>
      <c r="N57" s="3">
        <v>540</v>
      </c>
      <c r="O57" s="3">
        <v>2052</v>
      </c>
      <c r="P57" s="3">
        <v>473</v>
      </c>
      <c r="Q57" s="3">
        <v>79</v>
      </c>
    </row>
    <row r="58" spans="1:17" ht="9">
      <c r="A58" s="4" t="s">
        <v>29</v>
      </c>
      <c r="C58" s="3">
        <v>4950</v>
      </c>
      <c r="D58" s="3">
        <v>63898</v>
      </c>
      <c r="E58" s="3">
        <v>6731</v>
      </c>
      <c r="F58" s="3">
        <v>3624</v>
      </c>
      <c r="G58" s="3">
        <v>7877</v>
      </c>
      <c r="H58" s="3">
        <v>457</v>
      </c>
      <c r="I58" s="3">
        <v>16729</v>
      </c>
      <c r="J58" s="3">
        <v>27117</v>
      </c>
      <c r="K58" s="3">
        <v>467</v>
      </c>
      <c r="L58" s="3">
        <v>170</v>
      </c>
      <c r="M58" s="3">
        <v>424</v>
      </c>
      <c r="N58" s="3">
        <v>744</v>
      </c>
      <c r="O58" s="3">
        <v>3092</v>
      </c>
      <c r="P58" s="3">
        <v>698</v>
      </c>
      <c r="Q58" s="3">
        <v>112</v>
      </c>
    </row>
    <row r="59" spans="2:17" s="6" customFormat="1" ht="9">
      <c r="B59" s="10" t="s">
        <v>133</v>
      </c>
      <c r="C59" s="7">
        <f>C58/79203</f>
        <v>0.06249763266542934</v>
      </c>
      <c r="D59" s="7">
        <f>D58/79203</f>
        <v>0.8067623701122433</v>
      </c>
      <c r="E59" s="7">
        <f>E58/79203</f>
        <v>0.08498415464060705</v>
      </c>
      <c r="F59" s="7">
        <f>F58/79203</f>
        <v>0.04575584258172039</v>
      </c>
      <c r="G59" s="7">
        <f aca="true" t="shared" si="5" ref="G59:M59">G58/53241</f>
        <v>0.14794988824402247</v>
      </c>
      <c r="H59" s="7">
        <f t="shared" si="5"/>
        <v>0.008583610375462519</v>
      </c>
      <c r="I59" s="7">
        <f t="shared" si="5"/>
        <v>0.3142127307901805</v>
      </c>
      <c r="J59" s="7">
        <f t="shared" si="5"/>
        <v>0.5093255198061645</v>
      </c>
      <c r="K59" s="7">
        <f t="shared" si="5"/>
        <v>0.008771435547792115</v>
      </c>
      <c r="L59" s="7">
        <f t="shared" si="5"/>
        <v>0.0031930279296031256</v>
      </c>
      <c r="M59" s="7">
        <f t="shared" si="5"/>
        <v>0.007963787306774854</v>
      </c>
      <c r="N59" s="7">
        <f>N58/744</f>
        <v>1</v>
      </c>
      <c r="O59" s="7">
        <f>O58/3092</f>
        <v>1</v>
      </c>
      <c r="P59" s="7">
        <v>1</v>
      </c>
      <c r="Q59" s="7">
        <f>Q58/112</f>
        <v>1</v>
      </c>
    </row>
    <row r="60" spans="2:17" ht="4.5" customHeight="1"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9">
      <c r="A61" s="5" t="s">
        <v>58</v>
      </c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">
      <c r="B62" s="9" t="s">
        <v>57</v>
      </c>
      <c r="C62" s="3">
        <v>2304</v>
      </c>
      <c r="D62" s="3">
        <v>30194</v>
      </c>
      <c r="E62" s="3">
        <v>2430</v>
      </c>
      <c r="F62" s="3">
        <v>1246</v>
      </c>
      <c r="G62" s="3">
        <v>3238</v>
      </c>
      <c r="H62" s="3">
        <v>141</v>
      </c>
      <c r="I62" s="3">
        <v>3339</v>
      </c>
      <c r="J62" s="3">
        <v>9232</v>
      </c>
      <c r="K62" s="3">
        <v>138</v>
      </c>
      <c r="L62" s="3">
        <v>58</v>
      </c>
      <c r="M62" s="3">
        <v>109</v>
      </c>
      <c r="N62" s="3">
        <v>330</v>
      </c>
      <c r="O62" s="3">
        <v>484</v>
      </c>
      <c r="P62" s="3">
        <v>216</v>
      </c>
      <c r="Q62" s="3">
        <v>45</v>
      </c>
    </row>
    <row r="63" spans="2:17" ht="9">
      <c r="B63" s="9" t="s">
        <v>44</v>
      </c>
      <c r="C63" s="3">
        <v>1197</v>
      </c>
      <c r="D63" s="3">
        <v>14745</v>
      </c>
      <c r="E63" s="3">
        <v>1543</v>
      </c>
      <c r="F63" s="3">
        <v>652</v>
      </c>
      <c r="G63" s="3">
        <v>2308</v>
      </c>
      <c r="H63" s="3">
        <v>128</v>
      </c>
      <c r="I63" s="3">
        <v>2939</v>
      </c>
      <c r="J63" s="3">
        <v>7360</v>
      </c>
      <c r="K63" s="3">
        <v>106</v>
      </c>
      <c r="L63" s="3">
        <v>63</v>
      </c>
      <c r="M63" s="3">
        <v>86</v>
      </c>
      <c r="N63" s="3">
        <v>188</v>
      </c>
      <c r="O63" s="3">
        <v>168</v>
      </c>
      <c r="P63" s="3">
        <v>98</v>
      </c>
      <c r="Q63" s="3">
        <v>7</v>
      </c>
    </row>
    <row r="64" spans="1:17" ht="9">
      <c r="A64" s="4" t="s">
        <v>29</v>
      </c>
      <c r="C64" s="3">
        <v>3501</v>
      </c>
      <c r="D64" s="3">
        <v>44939</v>
      </c>
      <c r="E64" s="3">
        <v>3973</v>
      </c>
      <c r="F64" s="3">
        <v>1898</v>
      </c>
      <c r="G64" s="3">
        <v>5546</v>
      </c>
      <c r="H64" s="3">
        <v>269</v>
      </c>
      <c r="I64" s="3">
        <v>6278</v>
      </c>
      <c r="J64" s="3">
        <v>16592</v>
      </c>
      <c r="K64" s="3">
        <v>244</v>
      </c>
      <c r="L64" s="3">
        <v>121</v>
      </c>
      <c r="M64" s="3">
        <v>195</v>
      </c>
      <c r="N64" s="3">
        <v>518</v>
      </c>
      <c r="O64" s="3">
        <v>652</v>
      </c>
      <c r="P64" s="3">
        <v>314</v>
      </c>
      <c r="Q64" s="3">
        <v>52</v>
      </c>
    </row>
    <row r="65" spans="2:17" s="6" customFormat="1" ht="9">
      <c r="B65" s="10" t="s">
        <v>133</v>
      </c>
      <c r="C65" s="7">
        <f>C64/54311</f>
        <v>0.06446207950507264</v>
      </c>
      <c r="D65" s="7">
        <f>D64/54311</f>
        <v>0.8274382721732246</v>
      </c>
      <c r="E65" s="7">
        <f>E64/54311</f>
        <v>0.07315276831581079</v>
      </c>
      <c r="F65" s="7">
        <f>F64/54311</f>
        <v>0.034946880005891995</v>
      </c>
      <c r="G65" s="7">
        <f aca="true" t="shared" si="6" ref="G65:M65">G64/29245</f>
        <v>0.18963925457343137</v>
      </c>
      <c r="H65" s="7">
        <f t="shared" si="6"/>
        <v>0.009198153530518038</v>
      </c>
      <c r="I65" s="7">
        <f t="shared" si="6"/>
        <v>0.214669174217815</v>
      </c>
      <c r="J65" s="7">
        <f t="shared" si="6"/>
        <v>0.5673448452726962</v>
      </c>
      <c r="K65" s="7">
        <f t="shared" si="6"/>
        <v>0.008343306548127885</v>
      </c>
      <c r="L65" s="7">
        <f t="shared" si="6"/>
        <v>0.0041374593947683365</v>
      </c>
      <c r="M65" s="7">
        <f t="shared" si="6"/>
        <v>0.006667806462643187</v>
      </c>
      <c r="N65" s="7">
        <f>N64/518</f>
        <v>1</v>
      </c>
      <c r="O65" s="7">
        <f>O64/652</f>
        <v>1</v>
      </c>
      <c r="P65" s="7">
        <v>1</v>
      </c>
      <c r="Q65" s="7">
        <f>Q64/52</f>
        <v>1</v>
      </c>
    </row>
    <row r="66" spans="2:17" ht="4.5" customHeight="1"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9">
      <c r="A67" s="5" t="s">
        <v>60</v>
      </c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9">
      <c r="B68" s="9" t="s">
        <v>59</v>
      </c>
      <c r="C68" s="3">
        <v>2302</v>
      </c>
      <c r="D68" s="3">
        <v>59411</v>
      </c>
      <c r="E68" s="3">
        <v>4476</v>
      </c>
      <c r="F68" s="3">
        <v>2371</v>
      </c>
      <c r="G68" s="3">
        <v>2102</v>
      </c>
      <c r="H68" s="3">
        <v>135</v>
      </c>
      <c r="I68" s="3">
        <v>7240</v>
      </c>
      <c r="J68" s="3">
        <v>6961</v>
      </c>
      <c r="K68" s="3">
        <v>149</v>
      </c>
      <c r="L68" s="3">
        <v>65</v>
      </c>
      <c r="M68" s="3">
        <v>96</v>
      </c>
      <c r="N68" s="3">
        <v>396</v>
      </c>
      <c r="O68" s="3">
        <v>3245</v>
      </c>
      <c r="P68" s="3">
        <v>406</v>
      </c>
      <c r="Q68" s="3">
        <v>65</v>
      </c>
    </row>
    <row r="69" spans="1:17" ht="9">
      <c r="A69" s="4" t="s">
        <v>29</v>
      </c>
      <c r="C69" s="3">
        <v>2302</v>
      </c>
      <c r="D69" s="3">
        <v>59411</v>
      </c>
      <c r="E69" s="3">
        <v>4476</v>
      </c>
      <c r="F69" s="3">
        <v>2371</v>
      </c>
      <c r="G69" s="3">
        <v>2102</v>
      </c>
      <c r="H69" s="3">
        <v>135</v>
      </c>
      <c r="I69" s="3">
        <v>7240</v>
      </c>
      <c r="J69" s="3">
        <v>6961</v>
      </c>
      <c r="K69" s="3">
        <v>149</v>
      </c>
      <c r="L69" s="3">
        <v>65</v>
      </c>
      <c r="M69" s="3">
        <v>96</v>
      </c>
      <c r="N69" s="3">
        <v>396</v>
      </c>
      <c r="O69" s="3">
        <v>3245</v>
      </c>
      <c r="P69" s="3">
        <v>406</v>
      </c>
      <c r="Q69" s="3">
        <v>65</v>
      </c>
    </row>
    <row r="70" spans="2:17" s="6" customFormat="1" ht="9">
      <c r="B70" s="10" t="s">
        <v>133</v>
      </c>
      <c r="C70" s="7">
        <f>C69/68560</f>
        <v>0.03357642940490082</v>
      </c>
      <c r="D70" s="7">
        <f>D69/68560</f>
        <v>0.8665548424737456</v>
      </c>
      <c r="E70" s="7">
        <f>E69/68560</f>
        <v>0.06528588098016336</v>
      </c>
      <c r="F70" s="7">
        <f>F69/68560</f>
        <v>0.0345828471411902</v>
      </c>
      <c r="G70" s="7">
        <f aca="true" t="shared" si="7" ref="G70:M70">G69/16748</f>
        <v>0.12550752328636255</v>
      </c>
      <c r="H70" s="7">
        <f t="shared" si="7"/>
        <v>0.008060663959875806</v>
      </c>
      <c r="I70" s="7">
        <f t="shared" si="7"/>
        <v>0.4322904227370432</v>
      </c>
      <c r="J70" s="7">
        <f t="shared" si="7"/>
        <v>0.41563171721996656</v>
      </c>
      <c r="K70" s="7">
        <f t="shared" si="7"/>
        <v>0.00889658466682589</v>
      </c>
      <c r="L70" s="7">
        <f t="shared" si="7"/>
        <v>0.003881060425125388</v>
      </c>
      <c r="M70" s="7">
        <f t="shared" si="7"/>
        <v>0.005732027704800574</v>
      </c>
      <c r="N70" s="7">
        <f>N69/396</f>
        <v>1</v>
      </c>
      <c r="O70" s="7">
        <f>O69/3245</f>
        <v>1</v>
      </c>
      <c r="P70" s="7">
        <v>1</v>
      </c>
      <c r="Q70" s="7">
        <f>Q69/65</f>
        <v>1</v>
      </c>
    </row>
    <row r="71" spans="2:17" ht="4.5" customHeight="1"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9">
      <c r="A72" s="5" t="s">
        <v>62</v>
      </c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9">
      <c r="B73" s="9" t="s">
        <v>61</v>
      </c>
      <c r="C73" s="3">
        <v>2793</v>
      </c>
      <c r="D73" s="3">
        <v>65819</v>
      </c>
      <c r="E73" s="3">
        <v>5024</v>
      </c>
      <c r="F73" s="3">
        <v>2877</v>
      </c>
      <c r="G73" s="3">
        <v>2260</v>
      </c>
      <c r="H73" s="3">
        <v>157</v>
      </c>
      <c r="I73" s="3">
        <v>5693</v>
      </c>
      <c r="J73" s="3">
        <v>8530</v>
      </c>
      <c r="K73" s="3">
        <v>144</v>
      </c>
      <c r="L73" s="3">
        <v>67</v>
      </c>
      <c r="M73" s="3">
        <v>204</v>
      </c>
      <c r="N73" s="3">
        <v>246</v>
      </c>
      <c r="O73" s="3">
        <v>3488</v>
      </c>
      <c r="P73" s="3">
        <v>303</v>
      </c>
      <c r="Q73" s="3">
        <v>101</v>
      </c>
    </row>
    <row r="74" spans="1:17" ht="9">
      <c r="A74" s="4" t="s">
        <v>29</v>
      </c>
      <c r="C74" s="3">
        <v>2793</v>
      </c>
      <c r="D74" s="3">
        <v>65819</v>
      </c>
      <c r="E74" s="3">
        <v>5024</v>
      </c>
      <c r="F74" s="3">
        <v>2877</v>
      </c>
      <c r="G74" s="3">
        <v>2260</v>
      </c>
      <c r="H74" s="3">
        <v>157</v>
      </c>
      <c r="I74" s="3">
        <v>5693</v>
      </c>
      <c r="J74" s="3">
        <v>8530</v>
      </c>
      <c r="K74" s="3">
        <v>144</v>
      </c>
      <c r="L74" s="3">
        <v>67</v>
      </c>
      <c r="M74" s="3">
        <v>204</v>
      </c>
      <c r="N74" s="3">
        <v>246</v>
      </c>
      <c r="O74" s="3">
        <v>3488</v>
      </c>
      <c r="P74" s="3">
        <v>303</v>
      </c>
      <c r="Q74" s="3">
        <v>101</v>
      </c>
    </row>
    <row r="75" spans="2:17" s="6" customFormat="1" ht="9">
      <c r="B75" s="10" t="s">
        <v>133</v>
      </c>
      <c r="C75" s="7">
        <f>C74/76513</f>
        <v>0.03650360069530668</v>
      </c>
      <c r="D75" s="7">
        <f>D74/76513</f>
        <v>0.8602329015984211</v>
      </c>
      <c r="E75" s="7">
        <f>E74/76513</f>
        <v>0.06566204435847503</v>
      </c>
      <c r="F75" s="7">
        <f>F74/76513</f>
        <v>0.037601453347797104</v>
      </c>
      <c r="G75" s="7">
        <f aca="true" t="shared" si="8" ref="G75:M75">G74/17055</f>
        <v>0.1325124596892407</v>
      </c>
      <c r="H75" s="7">
        <f t="shared" si="8"/>
        <v>0.009205511580181765</v>
      </c>
      <c r="I75" s="7">
        <f t="shared" si="8"/>
        <v>0.33380240398710054</v>
      </c>
      <c r="J75" s="7">
        <f t="shared" si="8"/>
        <v>0.5001465845793023</v>
      </c>
      <c r="K75" s="7">
        <f t="shared" si="8"/>
        <v>0.008443271767810026</v>
      </c>
      <c r="L75" s="7">
        <f t="shared" si="8"/>
        <v>0.003928466725300499</v>
      </c>
      <c r="M75" s="7">
        <f t="shared" si="8"/>
        <v>0.011961301671064205</v>
      </c>
      <c r="N75" s="7">
        <f>N74/246</f>
        <v>1</v>
      </c>
      <c r="O75" s="7">
        <f>O74/3488</f>
        <v>1</v>
      </c>
      <c r="P75" s="7">
        <f>P74/303</f>
        <v>1</v>
      </c>
      <c r="Q75" s="7">
        <f>Q74/101</f>
        <v>1</v>
      </c>
    </row>
    <row r="76" spans="2:17" ht="4.5" customHeight="1"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9">
      <c r="A77" s="5" t="s">
        <v>63</v>
      </c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9">
      <c r="B78" s="9" t="s">
        <v>61</v>
      </c>
      <c r="C78" s="3">
        <v>432</v>
      </c>
      <c r="D78" s="3">
        <v>3754</v>
      </c>
      <c r="E78" s="3">
        <v>353</v>
      </c>
      <c r="F78" s="3">
        <v>243</v>
      </c>
      <c r="G78" s="3">
        <v>1129</v>
      </c>
      <c r="H78" s="3">
        <v>44</v>
      </c>
      <c r="I78" s="3">
        <v>1379</v>
      </c>
      <c r="J78" s="3">
        <v>3935</v>
      </c>
      <c r="K78" s="3">
        <v>64</v>
      </c>
      <c r="L78" s="3">
        <v>18</v>
      </c>
      <c r="M78" s="3">
        <v>28</v>
      </c>
      <c r="N78" s="3">
        <v>60</v>
      </c>
      <c r="O78" s="3">
        <v>33</v>
      </c>
      <c r="P78" s="3">
        <v>53</v>
      </c>
      <c r="Q78" s="3">
        <v>5</v>
      </c>
    </row>
    <row r="79" spans="2:17" ht="9">
      <c r="B79" s="9" t="s">
        <v>57</v>
      </c>
      <c r="C79" s="3">
        <v>2746</v>
      </c>
      <c r="D79" s="3">
        <v>36134</v>
      </c>
      <c r="E79" s="3">
        <v>3107</v>
      </c>
      <c r="F79" s="3">
        <v>1615</v>
      </c>
      <c r="G79" s="3">
        <v>7730</v>
      </c>
      <c r="H79" s="3">
        <v>249</v>
      </c>
      <c r="I79" s="3">
        <v>12130</v>
      </c>
      <c r="J79" s="3">
        <v>22125</v>
      </c>
      <c r="K79" s="3">
        <v>210</v>
      </c>
      <c r="L79" s="3">
        <v>94</v>
      </c>
      <c r="M79" s="3">
        <v>211</v>
      </c>
      <c r="N79" s="3">
        <v>441</v>
      </c>
      <c r="O79" s="3">
        <v>590</v>
      </c>
      <c r="P79" s="3">
        <v>344</v>
      </c>
      <c r="Q79" s="3">
        <v>77</v>
      </c>
    </row>
    <row r="80" spans="2:17" ht="9">
      <c r="B80" s="9" t="s">
        <v>43</v>
      </c>
      <c r="C80" s="3">
        <v>24</v>
      </c>
      <c r="D80" s="3">
        <v>237</v>
      </c>
      <c r="E80" s="3">
        <v>29</v>
      </c>
      <c r="F80" s="3">
        <v>7</v>
      </c>
      <c r="G80" s="3">
        <v>76</v>
      </c>
      <c r="H80" s="3">
        <v>3</v>
      </c>
      <c r="I80" s="3">
        <v>47</v>
      </c>
      <c r="J80" s="3">
        <v>174</v>
      </c>
      <c r="K80" s="3">
        <v>2</v>
      </c>
      <c r="L80" s="3">
        <v>2</v>
      </c>
      <c r="M80" s="3">
        <v>1</v>
      </c>
      <c r="N80" s="3">
        <v>7</v>
      </c>
      <c r="O80" s="3">
        <v>2</v>
      </c>
      <c r="P80" s="3">
        <v>6</v>
      </c>
      <c r="Q80" s="3">
        <v>1</v>
      </c>
    </row>
    <row r="81" spans="2:17" ht="9">
      <c r="B81" s="9" t="s">
        <v>44</v>
      </c>
      <c r="C81" s="3">
        <v>581</v>
      </c>
      <c r="D81" s="3">
        <v>8363</v>
      </c>
      <c r="E81" s="3">
        <v>999</v>
      </c>
      <c r="F81" s="3">
        <v>387</v>
      </c>
      <c r="G81" s="3">
        <v>1755</v>
      </c>
      <c r="H81" s="3">
        <v>96</v>
      </c>
      <c r="I81" s="3">
        <v>1887</v>
      </c>
      <c r="J81" s="3">
        <v>4709</v>
      </c>
      <c r="K81" s="3">
        <v>84</v>
      </c>
      <c r="L81" s="3">
        <v>41</v>
      </c>
      <c r="M81" s="3">
        <v>65</v>
      </c>
      <c r="N81" s="3">
        <v>131</v>
      </c>
      <c r="O81" s="3">
        <v>54</v>
      </c>
      <c r="P81" s="3">
        <v>75</v>
      </c>
      <c r="Q81" s="3">
        <v>5</v>
      </c>
    </row>
    <row r="82" spans="1:17" ht="9">
      <c r="A82" s="4" t="s">
        <v>29</v>
      </c>
      <c r="C82" s="3">
        <v>3783</v>
      </c>
      <c r="D82" s="3">
        <v>48488</v>
      </c>
      <c r="E82" s="3">
        <v>4488</v>
      </c>
      <c r="F82" s="3">
        <v>2252</v>
      </c>
      <c r="G82" s="3">
        <v>10690</v>
      </c>
      <c r="H82" s="3">
        <v>392</v>
      </c>
      <c r="I82" s="3">
        <v>15443</v>
      </c>
      <c r="J82" s="3">
        <v>30943</v>
      </c>
      <c r="K82" s="3">
        <v>360</v>
      </c>
      <c r="L82" s="3">
        <v>155</v>
      </c>
      <c r="M82" s="3">
        <v>305</v>
      </c>
      <c r="N82" s="3">
        <v>639</v>
      </c>
      <c r="O82" s="3">
        <v>679</v>
      </c>
      <c r="P82" s="3">
        <v>478</v>
      </c>
      <c r="Q82" s="3">
        <v>88</v>
      </c>
    </row>
    <row r="83" spans="2:17" s="6" customFormat="1" ht="9">
      <c r="B83" s="10" t="s">
        <v>133</v>
      </c>
      <c r="C83" s="7">
        <f>C82/59011</f>
        <v>0.06410669197268305</v>
      </c>
      <c r="D83" s="7">
        <f>D82/59011</f>
        <v>0.8216773143990104</v>
      </c>
      <c r="E83" s="7">
        <f>E82/59011</f>
        <v>0.07605361712223145</v>
      </c>
      <c r="F83" s="7">
        <f>F82/59011</f>
        <v>0.03816237650607514</v>
      </c>
      <c r="G83" s="7">
        <f aca="true" t="shared" si="9" ref="G83:M83">G82/58288</f>
        <v>0.1833996706011529</v>
      </c>
      <c r="H83" s="7">
        <f t="shared" si="9"/>
        <v>0.006725226461707384</v>
      </c>
      <c r="I83" s="7">
        <f t="shared" si="9"/>
        <v>0.26494304144935493</v>
      </c>
      <c r="J83" s="7">
        <f t="shared" si="9"/>
        <v>0.53086398572605</v>
      </c>
      <c r="K83" s="7">
        <f t="shared" si="9"/>
        <v>0.0061762283832006585</v>
      </c>
      <c r="L83" s="7">
        <f t="shared" si="9"/>
        <v>0.0026592094427669503</v>
      </c>
      <c r="M83" s="7">
        <f t="shared" si="9"/>
        <v>0.005232637935767225</v>
      </c>
      <c r="N83" s="7">
        <f>N82/639</f>
        <v>1</v>
      </c>
      <c r="O83" s="7">
        <f>O82/679</f>
        <v>1</v>
      </c>
      <c r="P83" s="7">
        <v>1</v>
      </c>
      <c r="Q83" s="7">
        <f>Q82/88</f>
        <v>1</v>
      </c>
    </row>
    <row r="84" spans="2:17" ht="4.5" customHeight="1"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9">
      <c r="A85" s="5" t="s">
        <v>66</v>
      </c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9">
      <c r="B86" s="9" t="s">
        <v>61</v>
      </c>
      <c r="C86" s="3">
        <v>352</v>
      </c>
      <c r="D86" s="3">
        <v>4480</v>
      </c>
      <c r="E86" s="3">
        <v>367</v>
      </c>
      <c r="F86" s="3">
        <v>219</v>
      </c>
      <c r="G86" s="3">
        <v>1168</v>
      </c>
      <c r="H86" s="3">
        <v>38</v>
      </c>
      <c r="I86" s="3">
        <v>1707</v>
      </c>
      <c r="J86" s="3">
        <v>4279</v>
      </c>
      <c r="K86" s="3">
        <v>41</v>
      </c>
      <c r="L86" s="3">
        <v>13</v>
      </c>
      <c r="M86" s="3">
        <v>38</v>
      </c>
      <c r="N86" s="3">
        <v>60</v>
      </c>
      <c r="O86" s="3">
        <v>31</v>
      </c>
      <c r="P86" s="3">
        <v>50</v>
      </c>
      <c r="Q86" s="3">
        <v>2</v>
      </c>
    </row>
    <row r="87" spans="2:17" ht="9">
      <c r="B87" s="9" t="s">
        <v>57</v>
      </c>
      <c r="C87" s="3">
        <v>720</v>
      </c>
      <c r="D87" s="3">
        <v>7184</v>
      </c>
      <c r="E87" s="3">
        <v>611</v>
      </c>
      <c r="F87" s="3">
        <v>292</v>
      </c>
      <c r="G87" s="3">
        <v>2559</v>
      </c>
      <c r="H87" s="3">
        <v>88</v>
      </c>
      <c r="I87" s="3">
        <v>4137</v>
      </c>
      <c r="J87" s="3">
        <v>8960</v>
      </c>
      <c r="K87" s="3">
        <v>62</v>
      </c>
      <c r="L87" s="3">
        <v>37</v>
      </c>
      <c r="M87" s="3">
        <v>67</v>
      </c>
      <c r="N87" s="3">
        <v>124</v>
      </c>
      <c r="O87" s="3">
        <v>70</v>
      </c>
      <c r="P87" s="3">
        <v>100</v>
      </c>
      <c r="Q87" s="3">
        <v>12</v>
      </c>
    </row>
    <row r="88" spans="2:17" ht="9">
      <c r="B88" s="9" t="s">
        <v>64</v>
      </c>
      <c r="C88" s="3">
        <v>1959</v>
      </c>
      <c r="D88" s="3">
        <v>20528</v>
      </c>
      <c r="E88" s="3">
        <v>2230</v>
      </c>
      <c r="F88" s="3">
        <v>1311</v>
      </c>
      <c r="G88" s="3">
        <v>10200</v>
      </c>
      <c r="H88" s="3">
        <v>212</v>
      </c>
      <c r="I88" s="3">
        <v>7136</v>
      </c>
      <c r="J88" s="3">
        <v>20882</v>
      </c>
      <c r="K88" s="3">
        <v>290</v>
      </c>
      <c r="L88" s="3">
        <v>50</v>
      </c>
      <c r="M88" s="3">
        <v>237</v>
      </c>
      <c r="N88" s="3">
        <v>390</v>
      </c>
      <c r="O88" s="3">
        <v>142</v>
      </c>
      <c r="P88" s="3">
        <v>181</v>
      </c>
      <c r="Q88" s="3">
        <v>14</v>
      </c>
    </row>
    <row r="89" spans="2:17" ht="9">
      <c r="B89" s="9" t="s">
        <v>65</v>
      </c>
      <c r="C89" s="3">
        <v>224</v>
      </c>
      <c r="D89" s="3">
        <v>1965</v>
      </c>
      <c r="E89" s="3">
        <v>185</v>
      </c>
      <c r="F89" s="3">
        <v>106</v>
      </c>
      <c r="G89" s="3">
        <v>404</v>
      </c>
      <c r="H89" s="3">
        <v>17</v>
      </c>
      <c r="I89" s="3">
        <v>689</v>
      </c>
      <c r="J89" s="3">
        <v>2030</v>
      </c>
      <c r="K89" s="3">
        <v>36</v>
      </c>
      <c r="L89" s="3">
        <v>11</v>
      </c>
      <c r="M89" s="3">
        <v>20</v>
      </c>
      <c r="N89" s="3">
        <v>44</v>
      </c>
      <c r="O89" s="3">
        <v>19</v>
      </c>
      <c r="P89" s="3">
        <v>30</v>
      </c>
      <c r="Q89" s="3">
        <v>1</v>
      </c>
    </row>
    <row r="90" spans="1:17" ht="9">
      <c r="A90" s="4" t="s">
        <v>29</v>
      </c>
      <c r="C90" s="3">
        <v>3255</v>
      </c>
      <c r="D90" s="3">
        <v>34157</v>
      </c>
      <c r="E90" s="3">
        <v>3393</v>
      </c>
      <c r="F90" s="3">
        <v>1928</v>
      </c>
      <c r="G90" s="3">
        <v>14331</v>
      </c>
      <c r="H90" s="3">
        <v>355</v>
      </c>
      <c r="I90" s="3">
        <v>13669</v>
      </c>
      <c r="J90" s="3">
        <v>36151</v>
      </c>
      <c r="K90" s="3">
        <v>429</v>
      </c>
      <c r="L90" s="3">
        <v>111</v>
      </c>
      <c r="M90" s="3">
        <v>362</v>
      </c>
      <c r="N90" s="3">
        <v>618</v>
      </c>
      <c r="O90" s="3">
        <v>262</v>
      </c>
      <c r="P90" s="3">
        <v>361</v>
      </c>
      <c r="Q90" s="3">
        <v>29</v>
      </c>
    </row>
    <row r="91" spans="2:17" s="6" customFormat="1" ht="9">
      <c r="B91" s="10" t="s">
        <v>133</v>
      </c>
      <c r="C91" s="7">
        <f>C90/42733</f>
        <v>0.07617064095663773</v>
      </c>
      <c r="D91" s="7">
        <f>D90/42733</f>
        <v>0.79931200711394</v>
      </c>
      <c r="E91" s="7">
        <f>E90/42733</f>
        <v>0.07939999531977629</v>
      </c>
      <c r="F91" s="7">
        <f>F90/42733</f>
        <v>0.04511735660964594</v>
      </c>
      <c r="G91" s="7">
        <f aca="true" t="shared" si="10" ref="G91:M91">G90/65408</f>
        <v>0.21910163894324852</v>
      </c>
      <c r="H91" s="7">
        <f t="shared" si="10"/>
        <v>0.005427470645792564</v>
      </c>
      <c r="I91" s="7">
        <f t="shared" si="10"/>
        <v>0.20898055283757339</v>
      </c>
      <c r="J91" s="7">
        <f t="shared" si="10"/>
        <v>0.5526999755381604</v>
      </c>
      <c r="K91" s="7">
        <f t="shared" si="10"/>
        <v>0.00655883072407045</v>
      </c>
      <c r="L91" s="7">
        <f t="shared" si="10"/>
        <v>0.0016970401174168297</v>
      </c>
      <c r="M91" s="7">
        <f t="shared" si="10"/>
        <v>0.005534491193737769</v>
      </c>
      <c r="N91" s="7">
        <f>N90/618</f>
        <v>1</v>
      </c>
      <c r="O91" s="7">
        <f>O90/262</f>
        <v>1</v>
      </c>
      <c r="P91" s="7">
        <f>P90/361</f>
        <v>1</v>
      </c>
      <c r="Q91" s="7">
        <f>Q90/29</f>
        <v>1</v>
      </c>
    </row>
    <row r="92" spans="2:17" ht="4.5" customHeight="1">
      <c r="B92" s="1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9">
      <c r="A93" s="5" t="s">
        <v>68</v>
      </c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9">
      <c r="B94" s="9" t="s">
        <v>59</v>
      </c>
      <c r="C94" s="3">
        <v>630</v>
      </c>
      <c r="D94" s="3">
        <v>15857</v>
      </c>
      <c r="E94" s="3">
        <v>1041</v>
      </c>
      <c r="F94" s="3">
        <v>580</v>
      </c>
      <c r="G94" s="3">
        <v>952</v>
      </c>
      <c r="H94" s="3">
        <v>26</v>
      </c>
      <c r="I94" s="3">
        <v>2342</v>
      </c>
      <c r="J94" s="3">
        <v>3348</v>
      </c>
      <c r="K94" s="3">
        <v>43</v>
      </c>
      <c r="L94" s="3">
        <v>11</v>
      </c>
      <c r="M94" s="3">
        <v>29</v>
      </c>
      <c r="N94" s="3">
        <v>79</v>
      </c>
      <c r="O94" s="3">
        <v>518</v>
      </c>
      <c r="P94" s="3">
        <v>88</v>
      </c>
      <c r="Q94" s="3">
        <v>15</v>
      </c>
    </row>
    <row r="95" spans="2:17" ht="9">
      <c r="B95" s="9" t="s">
        <v>67</v>
      </c>
      <c r="C95" s="3">
        <v>2835</v>
      </c>
      <c r="D95" s="3">
        <v>36873</v>
      </c>
      <c r="E95" s="3">
        <v>2747</v>
      </c>
      <c r="F95" s="3">
        <v>1483</v>
      </c>
      <c r="G95" s="3">
        <v>4042</v>
      </c>
      <c r="H95" s="3">
        <v>156</v>
      </c>
      <c r="I95" s="3">
        <v>8226</v>
      </c>
      <c r="J95" s="3">
        <v>14098</v>
      </c>
      <c r="K95" s="3">
        <v>166</v>
      </c>
      <c r="L95" s="3">
        <v>54</v>
      </c>
      <c r="M95" s="3">
        <v>132</v>
      </c>
      <c r="N95" s="3">
        <v>325</v>
      </c>
      <c r="O95" s="3">
        <v>532</v>
      </c>
      <c r="P95" s="3">
        <v>271</v>
      </c>
      <c r="Q95" s="3">
        <v>32</v>
      </c>
    </row>
    <row r="96" spans="1:17" ht="9">
      <c r="A96" s="4" t="s">
        <v>29</v>
      </c>
      <c r="C96" s="3">
        <v>3465</v>
      </c>
      <c r="D96" s="3">
        <v>52730</v>
      </c>
      <c r="E96" s="3">
        <v>3788</v>
      </c>
      <c r="F96" s="3">
        <v>2063</v>
      </c>
      <c r="G96" s="3">
        <v>4994</v>
      </c>
      <c r="H96" s="3">
        <v>182</v>
      </c>
      <c r="I96" s="3">
        <v>10568</v>
      </c>
      <c r="J96" s="3">
        <v>17446</v>
      </c>
      <c r="K96" s="3">
        <v>209</v>
      </c>
      <c r="L96" s="3">
        <v>65</v>
      </c>
      <c r="M96" s="3">
        <v>161</v>
      </c>
      <c r="N96" s="3">
        <v>404</v>
      </c>
      <c r="O96" s="3">
        <v>1050</v>
      </c>
      <c r="P96" s="3">
        <v>359</v>
      </c>
      <c r="Q96" s="3">
        <v>47</v>
      </c>
    </row>
    <row r="97" spans="2:17" s="6" customFormat="1" ht="9">
      <c r="B97" s="10" t="s">
        <v>133</v>
      </c>
      <c r="C97" s="7">
        <f>C96/62046</f>
        <v>0.05584566289527125</v>
      </c>
      <c r="D97" s="7">
        <f>D96/62046</f>
        <v>0.8498533346226993</v>
      </c>
      <c r="E97" s="7">
        <f>E96/62046</f>
        <v>0.06105147793572511</v>
      </c>
      <c r="F97" s="7">
        <f>F96/62046</f>
        <v>0.03324952454630435</v>
      </c>
      <c r="G97" s="7">
        <f aca="true" t="shared" si="11" ref="G97:M97">G96/33625</f>
        <v>0.14852044609665427</v>
      </c>
      <c r="H97" s="7">
        <f t="shared" si="11"/>
        <v>0.005412639405204461</v>
      </c>
      <c r="I97" s="7">
        <f t="shared" si="11"/>
        <v>0.3142899628252788</v>
      </c>
      <c r="J97" s="7">
        <f t="shared" si="11"/>
        <v>0.5188401486988847</v>
      </c>
      <c r="K97" s="7">
        <f t="shared" si="11"/>
        <v>0.006215613382899628</v>
      </c>
      <c r="L97" s="7">
        <f t="shared" si="11"/>
        <v>0.001933085501858736</v>
      </c>
      <c r="M97" s="7">
        <f t="shared" si="11"/>
        <v>0.004788104089219331</v>
      </c>
      <c r="N97" s="7">
        <f>N96/404</f>
        <v>1</v>
      </c>
      <c r="O97" s="7">
        <f>O96/1050</f>
        <v>1</v>
      </c>
      <c r="P97" s="7">
        <v>1</v>
      </c>
      <c r="Q97" s="7">
        <f>Q96/47</f>
        <v>1</v>
      </c>
    </row>
    <row r="98" spans="2:17" ht="4.5" customHeight="1"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9">
      <c r="A99" s="5" t="s">
        <v>69</v>
      </c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9">
      <c r="B100" s="9" t="s">
        <v>61</v>
      </c>
      <c r="C100" s="3">
        <v>2284</v>
      </c>
      <c r="D100" s="3">
        <v>37316</v>
      </c>
      <c r="E100" s="3">
        <v>3158</v>
      </c>
      <c r="F100" s="3">
        <v>1542</v>
      </c>
      <c r="G100" s="3">
        <v>3757</v>
      </c>
      <c r="H100" s="3">
        <v>195</v>
      </c>
      <c r="I100" s="3">
        <v>6267</v>
      </c>
      <c r="J100" s="3">
        <v>14219</v>
      </c>
      <c r="K100" s="3">
        <v>255</v>
      </c>
      <c r="L100" s="3">
        <v>86</v>
      </c>
      <c r="M100" s="3">
        <v>213</v>
      </c>
      <c r="N100" s="3">
        <v>306</v>
      </c>
      <c r="O100" s="3">
        <v>501</v>
      </c>
      <c r="P100" s="3">
        <v>310</v>
      </c>
      <c r="Q100" s="3">
        <v>32</v>
      </c>
    </row>
    <row r="101" spans="1:17" ht="9">
      <c r="A101" s="4" t="s">
        <v>29</v>
      </c>
      <c r="C101" s="3">
        <v>2284</v>
      </c>
      <c r="D101" s="3">
        <v>37316</v>
      </c>
      <c r="E101" s="3">
        <v>3158</v>
      </c>
      <c r="F101" s="3">
        <v>1542</v>
      </c>
      <c r="G101" s="3">
        <v>3757</v>
      </c>
      <c r="H101" s="3">
        <v>195</v>
      </c>
      <c r="I101" s="3">
        <v>6267</v>
      </c>
      <c r="J101" s="3">
        <v>14219</v>
      </c>
      <c r="K101" s="3">
        <v>255</v>
      </c>
      <c r="L101" s="3">
        <v>86</v>
      </c>
      <c r="M101" s="3">
        <v>213</v>
      </c>
      <c r="N101" s="3">
        <v>306</v>
      </c>
      <c r="O101" s="3">
        <v>501</v>
      </c>
      <c r="P101" s="3">
        <v>310</v>
      </c>
      <c r="Q101" s="3">
        <v>32</v>
      </c>
    </row>
    <row r="102" spans="2:17" s="6" customFormat="1" ht="9">
      <c r="B102" s="10" t="s">
        <v>133</v>
      </c>
      <c r="C102" s="7">
        <f>C101/44300</f>
        <v>0.051557562076749434</v>
      </c>
      <c r="D102" s="7">
        <f>D101/44300</f>
        <v>0.8423476297968397</v>
      </c>
      <c r="E102" s="7">
        <f>E101/44300</f>
        <v>0.07128668171557562</v>
      </c>
      <c r="F102" s="7">
        <f>F101/44300</f>
        <v>0.034808126410835215</v>
      </c>
      <c r="G102" s="7">
        <f aca="true" t="shared" si="12" ref="G102:M102">G101/24992</f>
        <v>0.15032810499359794</v>
      </c>
      <c r="H102" s="7">
        <f t="shared" si="12"/>
        <v>0.007802496798975672</v>
      </c>
      <c r="I102" s="7">
        <f t="shared" si="12"/>
        <v>0.2507602432778489</v>
      </c>
      <c r="J102" s="7">
        <f t="shared" si="12"/>
        <v>0.5689420614596671</v>
      </c>
      <c r="K102" s="7">
        <f t="shared" si="12"/>
        <v>0.010203265044814341</v>
      </c>
      <c r="L102" s="7">
        <f t="shared" si="12"/>
        <v>0.003441101152368758</v>
      </c>
      <c r="M102" s="7">
        <f t="shared" si="12"/>
        <v>0.008522727272727272</v>
      </c>
      <c r="N102" s="7">
        <f>N101/306</f>
        <v>1</v>
      </c>
      <c r="O102" s="7">
        <f>O101/501</f>
        <v>1</v>
      </c>
      <c r="P102" s="7">
        <f>P101/310</f>
        <v>1</v>
      </c>
      <c r="Q102" s="7">
        <f>Q101/32</f>
        <v>1</v>
      </c>
    </row>
    <row r="103" spans="2:17" ht="4.5" customHeight="1">
      <c r="B103" s="1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9">
      <c r="A104" s="5" t="s">
        <v>71</v>
      </c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9">
      <c r="B105" s="9" t="s">
        <v>67</v>
      </c>
      <c r="C105" s="3">
        <v>902</v>
      </c>
      <c r="D105" s="3">
        <v>13954</v>
      </c>
      <c r="E105" s="3">
        <v>1207</v>
      </c>
      <c r="F105" s="3">
        <v>618</v>
      </c>
      <c r="G105" s="3">
        <v>1508</v>
      </c>
      <c r="H105" s="3">
        <v>71</v>
      </c>
      <c r="I105" s="3">
        <v>4557</v>
      </c>
      <c r="J105" s="3">
        <v>6339</v>
      </c>
      <c r="K105" s="3">
        <v>73</v>
      </c>
      <c r="L105" s="3">
        <v>35</v>
      </c>
      <c r="M105" s="3">
        <v>73</v>
      </c>
      <c r="N105" s="3">
        <v>111</v>
      </c>
      <c r="O105" s="3">
        <v>358</v>
      </c>
      <c r="P105" s="3">
        <v>180</v>
      </c>
      <c r="Q105" s="3">
        <v>18</v>
      </c>
    </row>
    <row r="106" spans="2:17" ht="9">
      <c r="B106" s="9" t="s">
        <v>65</v>
      </c>
      <c r="C106" s="3">
        <v>1550</v>
      </c>
      <c r="D106" s="3">
        <v>25870</v>
      </c>
      <c r="E106" s="3">
        <v>1984</v>
      </c>
      <c r="F106" s="3">
        <v>1412</v>
      </c>
      <c r="G106" s="3">
        <v>3171</v>
      </c>
      <c r="H106" s="3">
        <v>209</v>
      </c>
      <c r="I106" s="3">
        <v>9560</v>
      </c>
      <c r="J106" s="3">
        <v>13205</v>
      </c>
      <c r="K106" s="3">
        <v>185</v>
      </c>
      <c r="L106" s="3">
        <v>96</v>
      </c>
      <c r="M106" s="3">
        <v>238</v>
      </c>
      <c r="N106" s="3">
        <v>189</v>
      </c>
      <c r="O106" s="3">
        <v>576</v>
      </c>
      <c r="P106" s="3">
        <v>431</v>
      </c>
      <c r="Q106" s="3">
        <v>50</v>
      </c>
    </row>
    <row r="107" spans="2:17" ht="9">
      <c r="B107" s="9" t="s">
        <v>70</v>
      </c>
      <c r="C107" s="3">
        <v>713</v>
      </c>
      <c r="D107" s="3">
        <v>7070</v>
      </c>
      <c r="E107" s="3">
        <v>758</v>
      </c>
      <c r="F107" s="3">
        <v>353</v>
      </c>
      <c r="G107" s="3">
        <v>837</v>
      </c>
      <c r="H107" s="3">
        <v>41</v>
      </c>
      <c r="I107" s="3">
        <v>1993</v>
      </c>
      <c r="J107" s="3">
        <v>4411</v>
      </c>
      <c r="K107" s="3">
        <v>73</v>
      </c>
      <c r="L107" s="3">
        <v>17</v>
      </c>
      <c r="M107" s="3">
        <v>64</v>
      </c>
      <c r="N107" s="3">
        <v>127</v>
      </c>
      <c r="O107" s="3">
        <v>541</v>
      </c>
      <c r="P107" s="3">
        <v>223</v>
      </c>
      <c r="Q107" s="3">
        <v>32</v>
      </c>
    </row>
    <row r="108" spans="1:17" ht="9">
      <c r="A108" s="4" t="s">
        <v>29</v>
      </c>
      <c r="C108" s="3">
        <v>3165</v>
      </c>
      <c r="D108" s="3">
        <v>46894</v>
      </c>
      <c r="E108" s="3">
        <v>3949</v>
      </c>
      <c r="F108" s="3">
        <v>2383</v>
      </c>
      <c r="G108" s="3">
        <v>5516</v>
      </c>
      <c r="H108" s="3">
        <v>321</v>
      </c>
      <c r="I108" s="3">
        <v>16110</v>
      </c>
      <c r="J108" s="3">
        <v>23955</v>
      </c>
      <c r="K108" s="3">
        <v>331</v>
      </c>
      <c r="L108" s="3">
        <v>148</v>
      </c>
      <c r="M108" s="3">
        <v>375</v>
      </c>
      <c r="N108" s="3">
        <v>427</v>
      </c>
      <c r="O108" s="3">
        <v>1475</v>
      </c>
      <c r="P108" s="3">
        <v>834</v>
      </c>
      <c r="Q108" s="3">
        <v>100</v>
      </c>
    </row>
    <row r="109" spans="2:17" s="6" customFormat="1" ht="9">
      <c r="B109" s="10" t="s">
        <v>133</v>
      </c>
      <c r="C109" s="7">
        <f>C108/56391</f>
        <v>0.05612597754960898</v>
      </c>
      <c r="D109" s="7">
        <f>D108/56391</f>
        <v>0.8315866006986931</v>
      </c>
      <c r="E109" s="7">
        <f>E108/56391</f>
        <v>0.07002890532177121</v>
      </c>
      <c r="F109" s="7">
        <f>F108/56391</f>
        <v>0.042258516429926764</v>
      </c>
      <c r="G109" s="7">
        <f aca="true" t="shared" si="13" ref="G109:M109">G108/46756</f>
        <v>0.11797416374369064</v>
      </c>
      <c r="H109" s="7">
        <f t="shared" si="13"/>
        <v>0.006865429035845667</v>
      </c>
      <c r="I109" s="7">
        <f t="shared" si="13"/>
        <v>0.3445547095559928</v>
      </c>
      <c r="J109" s="7">
        <f t="shared" si="13"/>
        <v>0.512340662161006</v>
      </c>
      <c r="K109" s="7">
        <f t="shared" si="13"/>
        <v>0.007079305329797245</v>
      </c>
      <c r="L109" s="7">
        <f t="shared" si="13"/>
        <v>0.0031653691504833605</v>
      </c>
      <c r="M109" s="7">
        <f t="shared" si="13"/>
        <v>0.00802036102318419</v>
      </c>
      <c r="N109" s="7">
        <f>N108/427</f>
        <v>1</v>
      </c>
      <c r="O109" s="7">
        <f>O108/1475</f>
        <v>1</v>
      </c>
      <c r="P109" s="7">
        <v>1</v>
      </c>
      <c r="Q109" s="7">
        <f>Q108/100</f>
        <v>1</v>
      </c>
    </row>
    <row r="110" spans="2:17" ht="4.5" customHeight="1"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9">
      <c r="A111" s="5" t="s">
        <v>72</v>
      </c>
      <c r="B111" s="1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9">
      <c r="B112" s="9" t="s">
        <v>65</v>
      </c>
      <c r="C112" s="3">
        <v>2506</v>
      </c>
      <c r="D112" s="3">
        <v>34354</v>
      </c>
      <c r="E112" s="3">
        <v>2971</v>
      </c>
      <c r="F112" s="3">
        <v>1850</v>
      </c>
      <c r="G112" s="3">
        <v>4999</v>
      </c>
      <c r="H112" s="3">
        <v>283</v>
      </c>
      <c r="I112" s="3">
        <v>9565</v>
      </c>
      <c r="J112" s="3">
        <v>18661</v>
      </c>
      <c r="K112" s="3">
        <v>308</v>
      </c>
      <c r="L112" s="3">
        <v>135</v>
      </c>
      <c r="M112" s="3">
        <v>384</v>
      </c>
      <c r="N112" s="3">
        <v>383</v>
      </c>
      <c r="O112" s="3">
        <v>405</v>
      </c>
      <c r="P112" s="3">
        <v>478</v>
      </c>
      <c r="Q112" s="3">
        <v>45</v>
      </c>
    </row>
    <row r="113" spans="1:17" ht="9">
      <c r="A113" s="4" t="s">
        <v>29</v>
      </c>
      <c r="C113" s="3">
        <v>2506</v>
      </c>
      <c r="D113" s="3">
        <v>34354</v>
      </c>
      <c r="E113" s="3">
        <v>2971</v>
      </c>
      <c r="F113" s="3">
        <v>1850</v>
      </c>
      <c r="G113" s="3">
        <v>4999</v>
      </c>
      <c r="H113" s="3">
        <v>283</v>
      </c>
      <c r="I113" s="3">
        <v>9565</v>
      </c>
      <c r="J113" s="3">
        <v>18661</v>
      </c>
      <c r="K113" s="3">
        <v>308</v>
      </c>
      <c r="L113" s="3">
        <v>135</v>
      </c>
      <c r="M113" s="3">
        <v>384</v>
      </c>
      <c r="N113" s="3">
        <v>383</v>
      </c>
      <c r="O113" s="3">
        <v>405</v>
      </c>
      <c r="P113" s="3">
        <v>478</v>
      </c>
      <c r="Q113" s="3">
        <v>45</v>
      </c>
    </row>
    <row r="114" spans="2:17" s="6" customFormat="1" ht="9">
      <c r="B114" s="10" t="s">
        <v>133</v>
      </c>
      <c r="C114" s="7">
        <f>C113/41681</f>
        <v>0.06012331757875291</v>
      </c>
      <c r="D114" s="7">
        <f>D113/41681</f>
        <v>0.8242124709100069</v>
      </c>
      <c r="E114" s="7">
        <f>E113/41681</f>
        <v>0.07127947985892853</v>
      </c>
      <c r="F114" s="7">
        <f>F113/41681</f>
        <v>0.044384731652311604</v>
      </c>
      <c r="G114" s="7">
        <f aca="true" t="shared" si="14" ref="G114:M114">G113/34335</f>
        <v>0.14559487403524102</v>
      </c>
      <c r="H114" s="7">
        <f t="shared" si="14"/>
        <v>0.008242318334061454</v>
      </c>
      <c r="I114" s="7">
        <f t="shared" si="14"/>
        <v>0.27857870977137034</v>
      </c>
      <c r="J114" s="7">
        <f t="shared" si="14"/>
        <v>0.5434978884520169</v>
      </c>
      <c r="K114" s="7">
        <f t="shared" si="14"/>
        <v>0.008970438328236493</v>
      </c>
      <c r="L114" s="7">
        <f t="shared" si="14"/>
        <v>0.003931847968545216</v>
      </c>
      <c r="M114" s="7">
        <f t="shared" si="14"/>
        <v>0.011183923110528616</v>
      </c>
      <c r="N114" s="7">
        <f>N113/383</f>
        <v>1</v>
      </c>
      <c r="O114" s="7">
        <f>O113/405</f>
        <v>1</v>
      </c>
      <c r="P114" s="7">
        <v>1</v>
      </c>
      <c r="Q114" s="7">
        <f>Q113/45</f>
        <v>1</v>
      </c>
    </row>
    <row r="115" spans="2:17" ht="4.5" customHeight="1">
      <c r="B115" s="1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9">
      <c r="A116" s="5" t="s">
        <v>73</v>
      </c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9">
      <c r="B117" s="9" t="s">
        <v>65</v>
      </c>
      <c r="C117" s="3">
        <v>2753</v>
      </c>
      <c r="D117" s="3">
        <v>29895</v>
      </c>
      <c r="E117" s="3">
        <v>3137</v>
      </c>
      <c r="F117" s="3">
        <v>1337</v>
      </c>
      <c r="G117" s="3">
        <v>3684</v>
      </c>
      <c r="H117" s="3">
        <v>207</v>
      </c>
      <c r="I117" s="3">
        <v>6664</v>
      </c>
      <c r="J117" s="3">
        <v>13730</v>
      </c>
      <c r="K117" s="3">
        <v>280</v>
      </c>
      <c r="L117" s="3">
        <v>102</v>
      </c>
      <c r="M117" s="3">
        <v>355</v>
      </c>
      <c r="N117" s="3">
        <v>332</v>
      </c>
      <c r="O117" s="3">
        <v>356</v>
      </c>
      <c r="P117" s="3">
        <v>304</v>
      </c>
      <c r="Q117" s="3">
        <v>27</v>
      </c>
    </row>
    <row r="118" spans="1:17" ht="9">
      <c r="A118" s="4" t="s">
        <v>29</v>
      </c>
      <c r="C118" s="3">
        <v>2753</v>
      </c>
      <c r="D118" s="3">
        <v>29895</v>
      </c>
      <c r="E118" s="3">
        <v>3137</v>
      </c>
      <c r="F118" s="3">
        <v>1337</v>
      </c>
      <c r="G118" s="3">
        <v>3684</v>
      </c>
      <c r="H118" s="3">
        <v>207</v>
      </c>
      <c r="I118" s="3">
        <v>6664</v>
      </c>
      <c r="J118" s="3">
        <v>13730</v>
      </c>
      <c r="K118" s="3">
        <v>280</v>
      </c>
      <c r="L118" s="3">
        <v>102</v>
      </c>
      <c r="M118" s="3">
        <v>355</v>
      </c>
      <c r="N118" s="3">
        <v>332</v>
      </c>
      <c r="O118" s="3">
        <v>356</v>
      </c>
      <c r="P118" s="3">
        <v>304</v>
      </c>
      <c r="Q118" s="3">
        <v>27</v>
      </c>
    </row>
    <row r="119" spans="2:17" s="6" customFormat="1" ht="9">
      <c r="B119" s="10" t="s">
        <v>133</v>
      </c>
      <c r="C119" s="7">
        <f>C118/37122</f>
        <v>0.07416087495285814</v>
      </c>
      <c r="D119" s="7">
        <f>D118/37122</f>
        <v>0.8053176014223371</v>
      </c>
      <c r="E119" s="7">
        <f>E118/37122</f>
        <v>0.08450514519691826</v>
      </c>
      <c r="F119" s="7">
        <f>F118/37122</f>
        <v>0.03601637842788643</v>
      </c>
      <c r="G119" s="7">
        <f aca="true" t="shared" si="15" ref="G119:M119">G118/25022</f>
        <v>0.1472304372152506</v>
      </c>
      <c r="H119" s="7">
        <f t="shared" si="15"/>
        <v>0.008272720006394374</v>
      </c>
      <c r="I119" s="7">
        <f t="shared" si="15"/>
        <v>0.26632563344257054</v>
      </c>
      <c r="J119" s="7">
        <f t="shared" si="15"/>
        <v>0.5487171289265447</v>
      </c>
      <c r="K119" s="7">
        <f t="shared" si="15"/>
        <v>0.011190152665654225</v>
      </c>
      <c r="L119" s="7">
        <f t="shared" si="15"/>
        <v>0.004076412756774039</v>
      </c>
      <c r="M119" s="7">
        <f t="shared" si="15"/>
        <v>0.014187514986811606</v>
      </c>
      <c r="N119" s="7">
        <f>N118/332</f>
        <v>1</v>
      </c>
      <c r="O119" s="7">
        <f>O118/356</f>
        <v>1</v>
      </c>
      <c r="P119" s="7">
        <v>1</v>
      </c>
      <c r="Q119" s="7">
        <f>Q118/27</f>
        <v>1</v>
      </c>
    </row>
    <row r="120" spans="2:17" ht="4.5" customHeight="1"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9">
      <c r="A121" s="5" t="s">
        <v>76</v>
      </c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9">
      <c r="B122" s="9" t="s">
        <v>74</v>
      </c>
      <c r="C122" s="3">
        <v>1589</v>
      </c>
      <c r="D122" s="3">
        <v>23287</v>
      </c>
      <c r="E122" s="3">
        <v>2585</v>
      </c>
      <c r="F122" s="3">
        <v>980</v>
      </c>
      <c r="G122" s="3">
        <v>3325</v>
      </c>
      <c r="H122" s="3">
        <v>167</v>
      </c>
      <c r="I122" s="3">
        <v>6382</v>
      </c>
      <c r="J122" s="3">
        <v>14006</v>
      </c>
      <c r="K122" s="3">
        <v>248</v>
      </c>
      <c r="L122" s="3">
        <v>158</v>
      </c>
      <c r="M122" s="3">
        <v>172</v>
      </c>
      <c r="N122" s="3">
        <v>388</v>
      </c>
      <c r="O122" s="3">
        <v>401</v>
      </c>
      <c r="P122" s="3">
        <v>195</v>
      </c>
      <c r="Q122" s="3">
        <v>25</v>
      </c>
    </row>
    <row r="123" spans="2:17" ht="9">
      <c r="B123" s="9" t="s">
        <v>75</v>
      </c>
      <c r="C123" s="3">
        <v>208</v>
      </c>
      <c r="D123" s="3">
        <v>3407</v>
      </c>
      <c r="E123" s="3">
        <v>509</v>
      </c>
      <c r="F123" s="3">
        <v>167</v>
      </c>
      <c r="G123" s="3">
        <v>666</v>
      </c>
      <c r="H123" s="3">
        <v>33</v>
      </c>
      <c r="I123" s="3">
        <v>783</v>
      </c>
      <c r="J123" s="3">
        <v>2322</v>
      </c>
      <c r="K123" s="3">
        <v>55</v>
      </c>
      <c r="L123" s="3">
        <v>26</v>
      </c>
      <c r="M123" s="3">
        <v>35</v>
      </c>
      <c r="N123" s="3">
        <v>68</v>
      </c>
      <c r="O123" s="3">
        <v>36</v>
      </c>
      <c r="P123" s="3">
        <v>31</v>
      </c>
      <c r="Q123" s="3">
        <v>0</v>
      </c>
    </row>
    <row r="124" spans="2:17" ht="9">
      <c r="B124" s="9" t="s">
        <v>70</v>
      </c>
      <c r="C124" s="3">
        <v>1363</v>
      </c>
      <c r="D124" s="3">
        <v>18279</v>
      </c>
      <c r="E124" s="3">
        <v>1849</v>
      </c>
      <c r="F124" s="3">
        <v>804</v>
      </c>
      <c r="G124" s="3">
        <v>1175</v>
      </c>
      <c r="H124" s="3">
        <v>61</v>
      </c>
      <c r="I124" s="3">
        <v>3141</v>
      </c>
      <c r="J124" s="3">
        <v>6449</v>
      </c>
      <c r="K124" s="3">
        <v>97</v>
      </c>
      <c r="L124" s="3">
        <v>39</v>
      </c>
      <c r="M124" s="3">
        <v>71</v>
      </c>
      <c r="N124" s="3">
        <v>216</v>
      </c>
      <c r="O124" s="3">
        <v>1595</v>
      </c>
      <c r="P124" s="3">
        <v>229</v>
      </c>
      <c r="Q124" s="3">
        <v>61</v>
      </c>
    </row>
    <row r="125" spans="1:17" ht="9">
      <c r="A125" s="4" t="s">
        <v>29</v>
      </c>
      <c r="C125" s="3">
        <v>3160</v>
      </c>
      <c r="D125" s="3">
        <v>44973</v>
      </c>
      <c r="E125" s="3">
        <v>4943</v>
      </c>
      <c r="F125" s="3">
        <v>1951</v>
      </c>
      <c r="G125" s="3">
        <v>5166</v>
      </c>
      <c r="H125" s="3">
        <v>261</v>
      </c>
      <c r="I125" s="3">
        <v>10306</v>
      </c>
      <c r="J125" s="3">
        <v>22777</v>
      </c>
      <c r="K125" s="3">
        <v>400</v>
      </c>
      <c r="L125" s="3">
        <v>223</v>
      </c>
      <c r="M125" s="3">
        <v>278</v>
      </c>
      <c r="N125" s="3">
        <v>672</v>
      </c>
      <c r="O125" s="3">
        <v>2032</v>
      </c>
      <c r="P125" s="3">
        <v>455</v>
      </c>
      <c r="Q125" s="3">
        <v>86</v>
      </c>
    </row>
    <row r="126" spans="2:17" s="6" customFormat="1" ht="9">
      <c r="B126" s="10" t="s">
        <v>133</v>
      </c>
      <c r="C126" s="7">
        <f>C125/55027</f>
        <v>0.057426354335144564</v>
      </c>
      <c r="D126" s="7">
        <f>D125/55027</f>
        <v>0.8172896941501445</v>
      </c>
      <c r="E126" s="7">
        <f>E125/55027</f>
        <v>0.08982862958184164</v>
      </c>
      <c r="F126" s="7">
        <f>F125/55027</f>
        <v>0.03545532193286932</v>
      </c>
      <c r="G126" s="7">
        <f aca="true" t="shared" si="16" ref="G126:M126">G125/39411</f>
        <v>0.1310801552865951</v>
      </c>
      <c r="H126" s="7">
        <f t="shared" si="16"/>
        <v>0.006622516556291391</v>
      </c>
      <c r="I126" s="7">
        <f t="shared" si="16"/>
        <v>0.2615005962802263</v>
      </c>
      <c r="J126" s="7">
        <f t="shared" si="16"/>
        <v>0.577935094263023</v>
      </c>
      <c r="K126" s="7">
        <f t="shared" si="16"/>
        <v>0.010149450660982974</v>
      </c>
      <c r="L126" s="7">
        <f t="shared" si="16"/>
        <v>0.005658318743498008</v>
      </c>
      <c r="M126" s="7">
        <f t="shared" si="16"/>
        <v>0.0070538682093831675</v>
      </c>
      <c r="N126" s="7">
        <f>N125/672</f>
        <v>1</v>
      </c>
      <c r="O126" s="7">
        <f>O125/2032</f>
        <v>1</v>
      </c>
      <c r="P126" s="7">
        <v>1</v>
      </c>
      <c r="Q126" s="7">
        <f>Q125/86</f>
        <v>1</v>
      </c>
    </row>
    <row r="127" spans="2:17" ht="4.5" customHeight="1">
      <c r="B127" s="1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9">
      <c r="A128" s="5" t="s">
        <v>81</v>
      </c>
      <c r="B128" s="1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9">
      <c r="B129" s="9" t="s">
        <v>77</v>
      </c>
      <c r="C129" s="3">
        <v>30</v>
      </c>
      <c r="D129" s="3">
        <v>150</v>
      </c>
      <c r="E129" s="3">
        <v>19</v>
      </c>
      <c r="F129" s="3">
        <v>9</v>
      </c>
      <c r="G129" s="3">
        <v>308</v>
      </c>
      <c r="H129" s="3">
        <v>0</v>
      </c>
      <c r="I129" s="3">
        <v>24</v>
      </c>
      <c r="J129" s="3">
        <v>81</v>
      </c>
      <c r="K129" s="3">
        <v>2</v>
      </c>
      <c r="L129" s="3">
        <v>0</v>
      </c>
      <c r="M129" s="3">
        <v>1</v>
      </c>
      <c r="N129" s="3">
        <v>2</v>
      </c>
      <c r="O129" s="3">
        <v>1</v>
      </c>
      <c r="P129" s="3">
        <v>0</v>
      </c>
      <c r="Q129" s="3">
        <v>0</v>
      </c>
    </row>
    <row r="130" spans="2:17" ht="9">
      <c r="B130" s="9" t="s">
        <v>78</v>
      </c>
      <c r="C130" s="3">
        <v>9</v>
      </c>
      <c r="D130" s="3">
        <v>38</v>
      </c>
      <c r="E130" s="3">
        <v>12</v>
      </c>
      <c r="F130" s="3">
        <v>3</v>
      </c>
      <c r="G130" s="3">
        <v>153</v>
      </c>
      <c r="H130" s="3">
        <v>0</v>
      </c>
      <c r="I130" s="3">
        <v>15</v>
      </c>
      <c r="J130" s="3">
        <v>34</v>
      </c>
      <c r="K130" s="3">
        <v>1</v>
      </c>
      <c r="L130" s="3">
        <v>1</v>
      </c>
      <c r="M130" s="3">
        <v>2</v>
      </c>
      <c r="N130" s="3">
        <v>1</v>
      </c>
      <c r="O130" s="3">
        <v>1</v>
      </c>
      <c r="P130" s="3">
        <v>0</v>
      </c>
      <c r="Q130" s="3">
        <v>0</v>
      </c>
    </row>
    <row r="131" spans="2:17" ht="9">
      <c r="B131" s="9" t="s">
        <v>79</v>
      </c>
      <c r="C131" s="3">
        <v>929</v>
      </c>
      <c r="D131" s="3">
        <v>10956</v>
      </c>
      <c r="E131" s="3">
        <v>1216</v>
      </c>
      <c r="F131" s="3">
        <v>507</v>
      </c>
      <c r="G131" s="3">
        <v>5095</v>
      </c>
      <c r="H131" s="3">
        <v>103</v>
      </c>
      <c r="I131" s="3">
        <v>1727</v>
      </c>
      <c r="J131" s="3">
        <v>5906</v>
      </c>
      <c r="K131" s="3">
        <v>147</v>
      </c>
      <c r="L131" s="3">
        <v>39</v>
      </c>
      <c r="M131" s="3">
        <v>110</v>
      </c>
      <c r="N131" s="3">
        <v>162</v>
      </c>
      <c r="O131" s="3">
        <v>69</v>
      </c>
      <c r="P131" s="3">
        <v>47</v>
      </c>
      <c r="Q131" s="3">
        <v>6</v>
      </c>
    </row>
    <row r="132" spans="2:17" ht="9">
      <c r="B132" s="9" t="s">
        <v>64</v>
      </c>
      <c r="C132" s="3">
        <v>572</v>
      </c>
      <c r="D132" s="3">
        <v>8876</v>
      </c>
      <c r="E132" s="3">
        <v>1021</v>
      </c>
      <c r="F132" s="3">
        <v>318</v>
      </c>
      <c r="G132" s="3">
        <v>1323</v>
      </c>
      <c r="H132" s="3">
        <v>59</v>
      </c>
      <c r="I132" s="3">
        <v>908</v>
      </c>
      <c r="J132" s="3">
        <v>2642</v>
      </c>
      <c r="K132" s="3">
        <v>61</v>
      </c>
      <c r="L132" s="3">
        <v>12</v>
      </c>
      <c r="M132" s="3">
        <v>72</v>
      </c>
      <c r="N132" s="3">
        <v>93</v>
      </c>
      <c r="O132" s="3">
        <v>48</v>
      </c>
      <c r="P132" s="3">
        <v>33</v>
      </c>
      <c r="Q132" s="3">
        <v>9</v>
      </c>
    </row>
    <row r="133" spans="2:17" ht="9">
      <c r="B133" s="9" t="s">
        <v>80</v>
      </c>
      <c r="C133" s="3">
        <v>1046</v>
      </c>
      <c r="D133" s="3">
        <v>12982</v>
      </c>
      <c r="E133" s="3">
        <v>1672</v>
      </c>
      <c r="F133" s="3">
        <v>765</v>
      </c>
      <c r="G133" s="3">
        <v>3737</v>
      </c>
      <c r="H133" s="3">
        <v>125</v>
      </c>
      <c r="I133" s="3">
        <v>1728</v>
      </c>
      <c r="J133" s="3">
        <v>6642</v>
      </c>
      <c r="K133" s="3">
        <v>164</v>
      </c>
      <c r="L133" s="3">
        <v>44</v>
      </c>
      <c r="M133" s="3">
        <v>112</v>
      </c>
      <c r="N133" s="3">
        <v>251</v>
      </c>
      <c r="O133" s="3">
        <v>76</v>
      </c>
      <c r="P133" s="3">
        <v>97</v>
      </c>
      <c r="Q133" s="3">
        <v>8</v>
      </c>
    </row>
    <row r="134" spans="1:17" ht="9">
      <c r="A134" s="4" t="s">
        <v>29</v>
      </c>
      <c r="C134" s="3">
        <v>2586</v>
      </c>
      <c r="D134" s="3">
        <v>33002</v>
      </c>
      <c r="E134" s="3">
        <v>3940</v>
      </c>
      <c r="F134" s="3">
        <v>1602</v>
      </c>
      <c r="G134" s="3">
        <v>10616</v>
      </c>
      <c r="H134" s="3">
        <v>287</v>
      </c>
      <c r="I134" s="3">
        <v>4402</v>
      </c>
      <c r="J134" s="3">
        <v>15305</v>
      </c>
      <c r="K134" s="3">
        <v>375</v>
      </c>
      <c r="L134" s="3">
        <v>96</v>
      </c>
      <c r="M134" s="3">
        <v>297</v>
      </c>
      <c r="N134" s="3">
        <v>509</v>
      </c>
      <c r="O134" s="3">
        <v>195</v>
      </c>
      <c r="P134" s="3">
        <v>177</v>
      </c>
      <c r="Q134" s="3">
        <v>23</v>
      </c>
    </row>
    <row r="135" spans="2:17" s="6" customFormat="1" ht="9">
      <c r="B135" s="10" t="s">
        <v>133</v>
      </c>
      <c r="C135" s="7">
        <f>C134/41130</f>
        <v>0.06287381473377097</v>
      </c>
      <c r="D135" s="7">
        <f>D134/41130</f>
        <v>0.8023826890347678</v>
      </c>
      <c r="E135" s="7">
        <f>E134/41130</f>
        <v>0.09579382445903234</v>
      </c>
      <c r="F135" s="7">
        <f>F134/41130</f>
        <v>0.03894967177242888</v>
      </c>
      <c r="G135" s="7">
        <f aca="true" t="shared" si="17" ref="G135:M135">G134/31378</f>
        <v>0.3383262158200013</v>
      </c>
      <c r="H135" s="7">
        <f t="shared" si="17"/>
        <v>0.009146535789406591</v>
      </c>
      <c r="I135" s="7">
        <f t="shared" si="17"/>
        <v>0.1402893747211422</v>
      </c>
      <c r="J135" s="7">
        <f t="shared" si="17"/>
        <v>0.48776212633055005</v>
      </c>
      <c r="K135" s="7">
        <f t="shared" si="17"/>
        <v>0.0119510485053222</v>
      </c>
      <c r="L135" s="7">
        <f t="shared" si="17"/>
        <v>0.003059468417362483</v>
      </c>
      <c r="M135" s="7">
        <f t="shared" si="17"/>
        <v>0.009465230416215182</v>
      </c>
      <c r="N135" s="7">
        <f>N134/509</f>
        <v>1</v>
      </c>
      <c r="O135" s="7">
        <f>O134/195</f>
        <v>1</v>
      </c>
      <c r="P135" s="7">
        <f>P134/177</f>
        <v>1</v>
      </c>
      <c r="Q135" s="7">
        <f>Q134/23</f>
        <v>1</v>
      </c>
    </row>
    <row r="136" spans="2:17" ht="4.5" customHeight="1"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9">
      <c r="A137" s="5" t="s">
        <v>84</v>
      </c>
      <c r="B137" s="1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9">
      <c r="B138" s="9" t="s">
        <v>77</v>
      </c>
      <c r="C138" s="3">
        <v>1294</v>
      </c>
      <c r="D138" s="3">
        <v>11825</v>
      </c>
      <c r="E138" s="3">
        <v>987</v>
      </c>
      <c r="F138" s="3">
        <v>713</v>
      </c>
      <c r="G138" s="3">
        <v>15678</v>
      </c>
      <c r="H138" s="3">
        <v>69</v>
      </c>
      <c r="I138" s="3">
        <v>2742</v>
      </c>
      <c r="J138" s="3">
        <v>7664</v>
      </c>
      <c r="K138" s="3">
        <v>97</v>
      </c>
      <c r="L138" s="3">
        <v>26</v>
      </c>
      <c r="M138" s="3">
        <v>64</v>
      </c>
      <c r="N138" s="3">
        <v>172</v>
      </c>
      <c r="O138" s="3">
        <v>154</v>
      </c>
      <c r="P138" s="3">
        <v>91</v>
      </c>
      <c r="Q138" s="3">
        <v>11</v>
      </c>
    </row>
    <row r="139" spans="2:17" ht="9">
      <c r="B139" s="9" t="s">
        <v>78</v>
      </c>
      <c r="C139" s="3">
        <v>639</v>
      </c>
      <c r="D139" s="3">
        <v>4233</v>
      </c>
      <c r="E139" s="3">
        <v>612</v>
      </c>
      <c r="F139" s="3">
        <v>360</v>
      </c>
      <c r="G139" s="3">
        <v>5700</v>
      </c>
      <c r="H139" s="3">
        <v>47</v>
      </c>
      <c r="I139" s="3">
        <v>1075</v>
      </c>
      <c r="J139" s="3">
        <v>3885</v>
      </c>
      <c r="K139" s="3">
        <v>97</v>
      </c>
      <c r="L139" s="3">
        <v>15</v>
      </c>
      <c r="M139" s="3">
        <v>48</v>
      </c>
      <c r="N139" s="3">
        <v>135</v>
      </c>
      <c r="O139" s="3">
        <v>49</v>
      </c>
      <c r="P139" s="3">
        <v>62</v>
      </c>
      <c r="Q139" s="3">
        <v>5</v>
      </c>
    </row>
    <row r="140" spans="2:17" ht="9">
      <c r="B140" s="9" t="s">
        <v>82</v>
      </c>
      <c r="C140" s="3">
        <v>153</v>
      </c>
      <c r="D140" s="3">
        <v>1362</v>
      </c>
      <c r="E140" s="3">
        <v>171</v>
      </c>
      <c r="F140" s="3">
        <v>83</v>
      </c>
      <c r="G140" s="3">
        <v>1338</v>
      </c>
      <c r="H140" s="3">
        <v>20</v>
      </c>
      <c r="I140" s="3">
        <v>371</v>
      </c>
      <c r="J140" s="3">
        <v>1326</v>
      </c>
      <c r="K140" s="3">
        <v>26</v>
      </c>
      <c r="L140" s="3">
        <v>5</v>
      </c>
      <c r="M140" s="3">
        <v>14</v>
      </c>
      <c r="N140" s="3">
        <v>51</v>
      </c>
      <c r="O140" s="3">
        <v>44</v>
      </c>
      <c r="P140" s="3">
        <v>32</v>
      </c>
      <c r="Q140" s="3">
        <v>3</v>
      </c>
    </row>
    <row r="141" spans="2:17" ht="9">
      <c r="B141" s="9" t="s">
        <v>80</v>
      </c>
      <c r="C141" s="3">
        <v>1020</v>
      </c>
      <c r="D141" s="3">
        <v>11387</v>
      </c>
      <c r="E141" s="3">
        <v>1386</v>
      </c>
      <c r="F141" s="3">
        <v>730</v>
      </c>
      <c r="G141" s="3">
        <v>6253</v>
      </c>
      <c r="H141" s="3">
        <v>95</v>
      </c>
      <c r="I141" s="3">
        <v>2750</v>
      </c>
      <c r="J141" s="3">
        <v>11690</v>
      </c>
      <c r="K141" s="3">
        <v>179</v>
      </c>
      <c r="L141" s="3">
        <v>44</v>
      </c>
      <c r="M141" s="3">
        <v>107</v>
      </c>
      <c r="N141" s="3">
        <v>262</v>
      </c>
      <c r="O141" s="3">
        <v>63</v>
      </c>
      <c r="P141" s="3">
        <v>85</v>
      </c>
      <c r="Q141" s="3">
        <v>10</v>
      </c>
    </row>
    <row r="142" spans="2:17" ht="9">
      <c r="B142" s="9" t="s">
        <v>83</v>
      </c>
      <c r="C142" s="3">
        <v>400</v>
      </c>
      <c r="D142" s="3">
        <v>4259</v>
      </c>
      <c r="E142" s="3">
        <v>446</v>
      </c>
      <c r="F142" s="3">
        <v>256</v>
      </c>
      <c r="G142" s="3">
        <v>1984</v>
      </c>
      <c r="H142" s="3">
        <v>45</v>
      </c>
      <c r="I142" s="3">
        <v>1107</v>
      </c>
      <c r="J142" s="3">
        <v>4103</v>
      </c>
      <c r="K142" s="3">
        <v>45</v>
      </c>
      <c r="L142" s="3">
        <v>7</v>
      </c>
      <c r="M142" s="3">
        <v>35</v>
      </c>
      <c r="N142" s="3">
        <v>78</v>
      </c>
      <c r="O142" s="3">
        <v>69</v>
      </c>
      <c r="P142" s="3">
        <v>48</v>
      </c>
      <c r="Q142" s="3">
        <v>1</v>
      </c>
    </row>
    <row r="143" spans="1:17" ht="9">
      <c r="A143" s="4" t="s">
        <v>29</v>
      </c>
      <c r="C143" s="3">
        <v>3506</v>
      </c>
      <c r="D143" s="3">
        <v>33066</v>
      </c>
      <c r="E143" s="3">
        <v>3602</v>
      </c>
      <c r="F143" s="3">
        <v>2142</v>
      </c>
      <c r="G143" s="3">
        <v>30953</v>
      </c>
      <c r="H143" s="3">
        <v>276</v>
      </c>
      <c r="I143" s="3">
        <v>8045</v>
      </c>
      <c r="J143" s="3">
        <v>28668</v>
      </c>
      <c r="K143" s="3">
        <v>444</v>
      </c>
      <c r="L143" s="3">
        <v>97</v>
      </c>
      <c r="M143" s="3">
        <v>268</v>
      </c>
      <c r="N143" s="3">
        <v>698</v>
      </c>
      <c r="O143" s="3">
        <v>379</v>
      </c>
      <c r="P143" s="3">
        <v>318</v>
      </c>
      <c r="Q143" s="3">
        <v>30</v>
      </c>
    </row>
    <row r="144" spans="2:17" s="6" customFormat="1" ht="9">
      <c r="B144" s="10" t="s">
        <v>133</v>
      </c>
      <c r="C144" s="7">
        <f>C143/42316</f>
        <v>0.08285282162775309</v>
      </c>
      <c r="D144" s="7">
        <f>D143/42316</f>
        <v>0.7814065601663673</v>
      </c>
      <c r="E144" s="7">
        <f>E143/42316</f>
        <v>0.08512146705737783</v>
      </c>
      <c r="F144" s="7">
        <f>F143/42316</f>
        <v>0.05061915114850175</v>
      </c>
      <c r="G144" s="7">
        <f aca="true" t="shared" si="18" ref="G144:M144">G143/68751</f>
        <v>0.4502189059068232</v>
      </c>
      <c r="H144" s="7">
        <f t="shared" si="18"/>
        <v>0.004014487062006371</v>
      </c>
      <c r="I144" s="7">
        <f t="shared" si="18"/>
        <v>0.11701647976029439</v>
      </c>
      <c r="J144" s="7">
        <f t="shared" si="18"/>
        <v>0.41698302570144435</v>
      </c>
      <c r="K144" s="7">
        <f t="shared" si="18"/>
        <v>0.006458087882358075</v>
      </c>
      <c r="L144" s="7">
        <f t="shared" si="18"/>
        <v>0.0014108885688935433</v>
      </c>
      <c r="M144" s="7">
        <f t="shared" si="18"/>
        <v>0.003898125118180099</v>
      </c>
      <c r="N144" s="7">
        <f>N143/698</f>
        <v>1</v>
      </c>
      <c r="O144" s="7">
        <f>O143/379</f>
        <v>1</v>
      </c>
      <c r="P144" s="7">
        <v>1</v>
      </c>
      <c r="Q144" s="7">
        <f>Q143/30</f>
        <v>1</v>
      </c>
    </row>
    <row r="145" spans="2:17" ht="4.5" customHeight="1">
      <c r="B145" s="1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9">
      <c r="A146" s="5" t="s">
        <v>87</v>
      </c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9">
      <c r="B147" s="9" t="s">
        <v>77</v>
      </c>
      <c r="C147" s="3">
        <v>975</v>
      </c>
      <c r="D147" s="3">
        <v>10436</v>
      </c>
      <c r="E147" s="3">
        <v>958</v>
      </c>
      <c r="F147" s="3">
        <v>404</v>
      </c>
      <c r="G147" s="3">
        <v>4291</v>
      </c>
      <c r="H147" s="3">
        <v>52</v>
      </c>
      <c r="I147" s="3">
        <v>728</v>
      </c>
      <c r="J147" s="3">
        <v>2205</v>
      </c>
      <c r="K147" s="3">
        <v>55</v>
      </c>
      <c r="L147" s="3">
        <v>23</v>
      </c>
      <c r="M147" s="3">
        <v>60</v>
      </c>
      <c r="N147" s="3">
        <v>112</v>
      </c>
      <c r="O147" s="3">
        <v>82</v>
      </c>
      <c r="P147" s="3">
        <v>46</v>
      </c>
      <c r="Q147" s="3">
        <v>9</v>
      </c>
    </row>
    <row r="148" spans="2:17" ht="9">
      <c r="B148" s="9" t="s">
        <v>85</v>
      </c>
      <c r="C148" s="3">
        <v>697</v>
      </c>
      <c r="D148" s="3">
        <v>7811</v>
      </c>
      <c r="E148" s="3">
        <v>849</v>
      </c>
      <c r="F148" s="3">
        <v>387</v>
      </c>
      <c r="G148" s="3">
        <v>1451</v>
      </c>
      <c r="H148" s="3">
        <v>47</v>
      </c>
      <c r="I148" s="3">
        <v>870</v>
      </c>
      <c r="J148" s="3">
        <v>2094</v>
      </c>
      <c r="K148" s="3">
        <v>59</v>
      </c>
      <c r="L148" s="3">
        <v>16</v>
      </c>
      <c r="M148" s="3">
        <v>94</v>
      </c>
      <c r="N148" s="3">
        <v>101</v>
      </c>
      <c r="O148" s="3">
        <v>13</v>
      </c>
      <c r="P148" s="3">
        <v>28</v>
      </c>
      <c r="Q148" s="3">
        <v>8</v>
      </c>
    </row>
    <row r="149" spans="2:17" ht="9">
      <c r="B149" s="9" t="s">
        <v>86</v>
      </c>
      <c r="C149" s="3">
        <v>586</v>
      </c>
      <c r="D149" s="3">
        <v>4230</v>
      </c>
      <c r="E149" s="3">
        <v>505</v>
      </c>
      <c r="F149" s="3">
        <v>368</v>
      </c>
      <c r="G149" s="3">
        <v>4143</v>
      </c>
      <c r="H149" s="3">
        <v>52</v>
      </c>
      <c r="I149" s="3">
        <v>615</v>
      </c>
      <c r="J149" s="3">
        <v>2584</v>
      </c>
      <c r="K149" s="3">
        <v>47</v>
      </c>
      <c r="L149" s="3">
        <v>11</v>
      </c>
      <c r="M149" s="3">
        <v>68</v>
      </c>
      <c r="N149" s="3">
        <v>74</v>
      </c>
      <c r="O149" s="3">
        <v>15</v>
      </c>
      <c r="P149" s="3">
        <v>25</v>
      </c>
      <c r="Q149" s="3">
        <v>7</v>
      </c>
    </row>
    <row r="150" spans="1:17" ht="9">
      <c r="A150" s="4" t="s">
        <v>29</v>
      </c>
      <c r="C150" s="3">
        <v>2258</v>
      </c>
      <c r="D150" s="3">
        <v>22477</v>
      </c>
      <c r="E150" s="3">
        <v>2312</v>
      </c>
      <c r="F150" s="3">
        <v>1159</v>
      </c>
      <c r="G150" s="3">
        <v>9885</v>
      </c>
      <c r="H150" s="3">
        <v>151</v>
      </c>
      <c r="I150" s="3">
        <v>2213</v>
      </c>
      <c r="J150" s="3">
        <v>6883</v>
      </c>
      <c r="K150" s="3">
        <v>161</v>
      </c>
      <c r="L150" s="3">
        <v>50</v>
      </c>
      <c r="M150" s="3">
        <v>222</v>
      </c>
      <c r="N150" s="3">
        <v>287</v>
      </c>
      <c r="O150" s="3">
        <v>110</v>
      </c>
      <c r="P150" s="3">
        <v>99</v>
      </c>
      <c r="Q150" s="3">
        <v>24</v>
      </c>
    </row>
    <row r="151" spans="2:17" s="6" customFormat="1" ht="9">
      <c r="B151" s="10" t="s">
        <v>133</v>
      </c>
      <c r="C151" s="7">
        <f>C150/28206</f>
        <v>0.08005388924342338</v>
      </c>
      <c r="D151" s="7">
        <f>D150/28206</f>
        <v>0.7968871871233071</v>
      </c>
      <c r="E151" s="7">
        <f>E150/28206</f>
        <v>0.08196837552293838</v>
      </c>
      <c r="F151" s="7">
        <f>F150/28206</f>
        <v>0.04109054811033114</v>
      </c>
      <c r="G151" s="7">
        <f aca="true" t="shared" si="19" ref="G151:M151">G150/19565</f>
        <v>0.5052389470994122</v>
      </c>
      <c r="H151" s="7">
        <f t="shared" si="19"/>
        <v>0.00771786353181702</v>
      </c>
      <c r="I151" s="7">
        <f t="shared" si="19"/>
        <v>0.1131101456682852</v>
      </c>
      <c r="J151" s="7">
        <f t="shared" si="19"/>
        <v>0.3518016866854076</v>
      </c>
      <c r="K151" s="7">
        <f t="shared" si="19"/>
        <v>0.008228980322003579</v>
      </c>
      <c r="L151" s="7">
        <f t="shared" si="19"/>
        <v>0.002555583950932788</v>
      </c>
      <c r="M151" s="7">
        <f t="shared" si="19"/>
        <v>0.011346792742141579</v>
      </c>
      <c r="N151" s="7">
        <f>N150/287</f>
        <v>1</v>
      </c>
      <c r="O151" s="7">
        <f>O150/110</f>
        <v>1</v>
      </c>
      <c r="P151" s="7">
        <v>1</v>
      </c>
      <c r="Q151" s="7">
        <f>Q150/24</f>
        <v>1</v>
      </c>
    </row>
    <row r="152" spans="2:17" ht="4.5" customHeight="1"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9">
      <c r="A153" s="5" t="s">
        <v>89</v>
      </c>
      <c r="B153" s="1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9">
      <c r="B154" s="9" t="s">
        <v>77</v>
      </c>
      <c r="C154" s="3">
        <v>1561</v>
      </c>
      <c r="D154" s="3">
        <v>11748</v>
      </c>
      <c r="E154" s="3">
        <v>1232</v>
      </c>
      <c r="F154" s="3">
        <v>895</v>
      </c>
      <c r="G154" s="3">
        <v>17675</v>
      </c>
      <c r="H154" s="3">
        <v>101</v>
      </c>
      <c r="I154" s="3">
        <v>2310</v>
      </c>
      <c r="J154" s="3">
        <v>9334</v>
      </c>
      <c r="K154" s="3">
        <v>133</v>
      </c>
      <c r="L154" s="3">
        <v>39</v>
      </c>
      <c r="M154" s="3">
        <v>87</v>
      </c>
      <c r="N154" s="3">
        <v>215</v>
      </c>
      <c r="O154" s="3">
        <v>126</v>
      </c>
      <c r="P154" s="3">
        <v>93</v>
      </c>
      <c r="Q154" s="3">
        <v>15</v>
      </c>
    </row>
    <row r="155" spans="2:17" ht="9">
      <c r="B155" s="9" t="s">
        <v>88</v>
      </c>
      <c r="C155" s="3">
        <v>1305</v>
      </c>
      <c r="D155" s="3">
        <v>11421</v>
      </c>
      <c r="E155" s="3">
        <v>1301</v>
      </c>
      <c r="F155" s="3">
        <v>818</v>
      </c>
      <c r="G155" s="3">
        <v>17995</v>
      </c>
      <c r="H155" s="3">
        <v>91</v>
      </c>
      <c r="I155" s="3">
        <v>2014</v>
      </c>
      <c r="J155" s="3">
        <v>7981</v>
      </c>
      <c r="K155" s="3">
        <v>203</v>
      </c>
      <c r="L155" s="3">
        <v>55</v>
      </c>
      <c r="M155" s="3">
        <v>88</v>
      </c>
      <c r="N155" s="3">
        <v>229</v>
      </c>
      <c r="O155" s="3">
        <v>85</v>
      </c>
      <c r="P155" s="3">
        <v>82</v>
      </c>
      <c r="Q155" s="3">
        <v>7</v>
      </c>
    </row>
    <row r="156" spans="1:17" ht="9">
      <c r="A156" s="4" t="s">
        <v>29</v>
      </c>
      <c r="C156" s="3">
        <v>2866</v>
      </c>
      <c r="D156" s="3">
        <v>23169</v>
      </c>
      <c r="E156" s="3">
        <v>2533</v>
      </c>
      <c r="F156" s="3">
        <v>1713</v>
      </c>
      <c r="G156" s="3">
        <v>35670</v>
      </c>
      <c r="H156" s="3">
        <v>192</v>
      </c>
      <c r="I156" s="3">
        <v>4324</v>
      </c>
      <c r="J156" s="3">
        <v>17315</v>
      </c>
      <c r="K156" s="3">
        <v>336</v>
      </c>
      <c r="L156" s="3">
        <v>94</v>
      </c>
      <c r="M156" s="3">
        <v>175</v>
      </c>
      <c r="N156" s="3">
        <v>444</v>
      </c>
      <c r="O156" s="3">
        <v>211</v>
      </c>
      <c r="P156" s="3">
        <v>175</v>
      </c>
      <c r="Q156" s="3">
        <v>22</v>
      </c>
    </row>
    <row r="157" spans="2:17" s="6" customFormat="1" ht="9">
      <c r="B157" s="10" t="s">
        <v>133</v>
      </c>
      <c r="C157" s="7">
        <f>C156/30281</f>
        <v>0.09464680822958291</v>
      </c>
      <c r="D157" s="7">
        <f>D156/30281</f>
        <v>0.7651332518741125</v>
      </c>
      <c r="E157" s="7">
        <f>E156/30281</f>
        <v>0.08364981341435224</v>
      </c>
      <c r="F157" s="7">
        <f>F156/30281</f>
        <v>0.05657012648195238</v>
      </c>
      <c r="G157" s="7">
        <f aca="true" t="shared" si="20" ref="G157:M157">G156/58106</f>
        <v>0.6138780848793585</v>
      </c>
      <c r="H157" s="7">
        <f t="shared" si="20"/>
        <v>0.0033043059236567652</v>
      </c>
      <c r="I157" s="7">
        <f t="shared" si="20"/>
        <v>0.07441572298902006</v>
      </c>
      <c r="J157" s="7">
        <f t="shared" si="20"/>
        <v>0.2979898805631088</v>
      </c>
      <c r="K157" s="7">
        <f t="shared" si="20"/>
        <v>0.005782535366399339</v>
      </c>
      <c r="L157" s="7">
        <f t="shared" si="20"/>
        <v>0.001617733108456958</v>
      </c>
      <c r="M157" s="7">
        <f t="shared" si="20"/>
        <v>0.003011737169999656</v>
      </c>
      <c r="N157" s="7">
        <f>N156/444</f>
        <v>1</v>
      </c>
      <c r="O157" s="7">
        <f>O156/211</f>
        <v>1</v>
      </c>
      <c r="P157" s="7">
        <v>1</v>
      </c>
      <c r="Q157" s="7">
        <f>Q156/22</f>
        <v>1</v>
      </c>
    </row>
    <row r="158" spans="2:17" ht="4.5" customHeight="1">
      <c r="B158" s="1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9">
      <c r="A159" s="5" t="s">
        <v>92</v>
      </c>
      <c r="B159" s="1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9">
      <c r="B160" s="9" t="s">
        <v>85</v>
      </c>
      <c r="C160" s="3">
        <v>2283</v>
      </c>
      <c r="D160" s="3">
        <v>18239</v>
      </c>
      <c r="E160" s="3">
        <v>2569</v>
      </c>
      <c r="F160" s="3">
        <v>1491</v>
      </c>
      <c r="G160" s="3">
        <v>13478</v>
      </c>
      <c r="H160" s="3">
        <v>271</v>
      </c>
      <c r="I160" s="3">
        <v>12473</v>
      </c>
      <c r="J160" s="3">
        <v>28671</v>
      </c>
      <c r="K160" s="3">
        <v>480</v>
      </c>
      <c r="L160" s="3">
        <v>94</v>
      </c>
      <c r="M160" s="3">
        <v>272</v>
      </c>
      <c r="N160" s="3">
        <v>766</v>
      </c>
      <c r="O160" s="3">
        <v>143</v>
      </c>
      <c r="P160" s="3">
        <v>308</v>
      </c>
      <c r="Q160" s="3">
        <v>24</v>
      </c>
    </row>
    <row r="161" spans="2:17" ht="9">
      <c r="B161" s="9" t="s">
        <v>90</v>
      </c>
      <c r="C161" s="3">
        <v>252</v>
      </c>
      <c r="D161" s="3">
        <v>1859</v>
      </c>
      <c r="E161" s="3">
        <v>327</v>
      </c>
      <c r="F161" s="3">
        <v>179</v>
      </c>
      <c r="G161" s="3">
        <v>555</v>
      </c>
      <c r="H161" s="3">
        <v>35</v>
      </c>
      <c r="I161" s="3">
        <v>2578</v>
      </c>
      <c r="J161" s="3">
        <v>2745</v>
      </c>
      <c r="K161" s="3">
        <v>52</v>
      </c>
      <c r="L161" s="3">
        <v>16</v>
      </c>
      <c r="M161" s="3">
        <v>34</v>
      </c>
      <c r="N161" s="3">
        <v>72</v>
      </c>
      <c r="O161" s="3">
        <v>19</v>
      </c>
      <c r="P161" s="3">
        <v>35</v>
      </c>
      <c r="Q161" s="3">
        <v>17</v>
      </c>
    </row>
    <row r="162" spans="2:17" ht="9">
      <c r="B162" s="9" t="s">
        <v>91</v>
      </c>
      <c r="C162" s="3">
        <v>653</v>
      </c>
      <c r="D162" s="3">
        <v>5473</v>
      </c>
      <c r="E162" s="3">
        <v>691</v>
      </c>
      <c r="F162" s="3">
        <v>374</v>
      </c>
      <c r="G162" s="3">
        <v>2490</v>
      </c>
      <c r="H162" s="3">
        <v>75</v>
      </c>
      <c r="I162" s="3">
        <v>4481</v>
      </c>
      <c r="J162" s="3">
        <v>8683</v>
      </c>
      <c r="K162" s="3">
        <v>146</v>
      </c>
      <c r="L162" s="3">
        <v>14</v>
      </c>
      <c r="M162" s="3">
        <v>69</v>
      </c>
      <c r="N162" s="3">
        <v>110</v>
      </c>
      <c r="O162" s="3">
        <v>181</v>
      </c>
      <c r="P162" s="3">
        <v>100</v>
      </c>
      <c r="Q162" s="3">
        <v>16</v>
      </c>
    </row>
    <row r="163" spans="1:17" ht="9">
      <c r="A163" s="4" t="s">
        <v>29</v>
      </c>
      <c r="C163" s="3">
        <v>3188</v>
      </c>
      <c r="D163" s="3">
        <v>25571</v>
      </c>
      <c r="E163" s="3">
        <v>3587</v>
      </c>
      <c r="F163" s="3">
        <v>2044</v>
      </c>
      <c r="G163" s="3">
        <v>16523</v>
      </c>
      <c r="H163" s="3">
        <v>381</v>
      </c>
      <c r="I163" s="3">
        <v>19532</v>
      </c>
      <c r="J163" s="3">
        <v>40099</v>
      </c>
      <c r="K163" s="3">
        <v>678</v>
      </c>
      <c r="L163" s="3">
        <v>124</v>
      </c>
      <c r="M163" s="3">
        <v>375</v>
      </c>
      <c r="N163" s="3">
        <v>948</v>
      </c>
      <c r="O163" s="3">
        <v>343</v>
      </c>
      <c r="P163" s="3">
        <v>443</v>
      </c>
      <c r="Q163" s="3">
        <v>57</v>
      </c>
    </row>
    <row r="164" spans="2:17" s="6" customFormat="1" ht="9">
      <c r="B164" s="10" t="s">
        <v>133</v>
      </c>
      <c r="C164" s="7">
        <f>C163/34390</f>
        <v>0.0927013666763594</v>
      </c>
      <c r="D164" s="7">
        <f>D163/34390</f>
        <v>0.7435591741785402</v>
      </c>
      <c r="E164" s="7">
        <f>E163/34390</f>
        <v>0.10430357662111078</v>
      </c>
      <c r="F164" s="7">
        <f>F163/34390</f>
        <v>0.059435882523989535</v>
      </c>
      <c r="G164" s="7">
        <f aca="true" t="shared" si="21" ref="G164:M164">G163/77712</f>
        <v>0.2126183858348775</v>
      </c>
      <c r="H164" s="7">
        <f t="shared" si="21"/>
        <v>0.00490271772699197</v>
      </c>
      <c r="I164" s="7">
        <f t="shared" si="21"/>
        <v>0.2513382746551369</v>
      </c>
      <c r="J164" s="7">
        <f t="shared" si="21"/>
        <v>0.5159949557339921</v>
      </c>
      <c r="K164" s="7">
        <f t="shared" si="21"/>
        <v>0.008724521309450279</v>
      </c>
      <c r="L164" s="7">
        <f t="shared" si="21"/>
        <v>0.0015956351657401687</v>
      </c>
      <c r="M164" s="7">
        <f t="shared" si="21"/>
        <v>0.004825509573810995</v>
      </c>
      <c r="N164" s="7">
        <f>N163/948</f>
        <v>1</v>
      </c>
      <c r="O164" s="7">
        <f>O163/343</f>
        <v>1</v>
      </c>
      <c r="P164" s="7">
        <v>1</v>
      </c>
      <c r="Q164" s="7">
        <f>Q163/57</f>
        <v>1</v>
      </c>
    </row>
    <row r="165" spans="2:17" ht="4.5" customHeight="1">
      <c r="B165" s="1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9">
      <c r="A166" s="5" t="s">
        <v>95</v>
      </c>
      <c r="B166" s="1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9">
      <c r="B167" s="9" t="s">
        <v>91</v>
      </c>
      <c r="C167" s="3">
        <v>627</v>
      </c>
      <c r="D167" s="3">
        <v>8440</v>
      </c>
      <c r="E167" s="3">
        <v>883</v>
      </c>
      <c r="F167" s="3">
        <v>405</v>
      </c>
      <c r="G167" s="3">
        <v>1794</v>
      </c>
      <c r="H167" s="3">
        <v>68</v>
      </c>
      <c r="I167" s="3">
        <v>4913</v>
      </c>
      <c r="J167" s="3">
        <v>6604</v>
      </c>
      <c r="K167" s="3">
        <v>89</v>
      </c>
      <c r="L167" s="3">
        <v>26</v>
      </c>
      <c r="M167" s="3">
        <v>86</v>
      </c>
      <c r="N167" s="3">
        <v>138</v>
      </c>
      <c r="O167" s="3">
        <v>391</v>
      </c>
      <c r="P167" s="3">
        <v>129</v>
      </c>
      <c r="Q167" s="3">
        <v>16</v>
      </c>
    </row>
    <row r="168" spans="2:17" ht="9">
      <c r="B168" s="9" t="s">
        <v>93</v>
      </c>
      <c r="C168" s="3">
        <v>1197</v>
      </c>
      <c r="D168" s="3">
        <v>17426</v>
      </c>
      <c r="E168" s="3">
        <v>1440</v>
      </c>
      <c r="F168" s="3">
        <v>726</v>
      </c>
      <c r="G168" s="3">
        <v>2536</v>
      </c>
      <c r="H168" s="3">
        <v>90</v>
      </c>
      <c r="I168" s="3">
        <v>9322</v>
      </c>
      <c r="J168" s="3">
        <v>10511</v>
      </c>
      <c r="K168" s="3">
        <v>118</v>
      </c>
      <c r="L168" s="3">
        <v>54</v>
      </c>
      <c r="M168" s="3">
        <v>103</v>
      </c>
      <c r="N168" s="3">
        <v>171</v>
      </c>
      <c r="O168" s="3">
        <v>620</v>
      </c>
      <c r="P168" s="3">
        <v>172</v>
      </c>
      <c r="Q168" s="3">
        <v>50</v>
      </c>
    </row>
    <row r="169" spans="2:17" ht="9">
      <c r="B169" s="9" t="s">
        <v>94</v>
      </c>
      <c r="C169" s="3">
        <v>724</v>
      </c>
      <c r="D169" s="3">
        <v>9337</v>
      </c>
      <c r="E169" s="3">
        <v>860</v>
      </c>
      <c r="F169" s="3">
        <v>362</v>
      </c>
      <c r="G169" s="3">
        <v>1024</v>
      </c>
      <c r="H169" s="3">
        <v>58</v>
      </c>
      <c r="I169" s="3">
        <v>3874</v>
      </c>
      <c r="J169" s="3">
        <v>3898</v>
      </c>
      <c r="K169" s="3">
        <v>117</v>
      </c>
      <c r="L169" s="3">
        <v>41</v>
      </c>
      <c r="M169" s="3">
        <v>70</v>
      </c>
      <c r="N169" s="3">
        <v>119</v>
      </c>
      <c r="O169" s="3">
        <v>149</v>
      </c>
      <c r="P169" s="3">
        <v>89</v>
      </c>
      <c r="Q169" s="3">
        <v>13</v>
      </c>
    </row>
    <row r="170" spans="1:17" ht="9">
      <c r="A170" s="4" t="s">
        <v>29</v>
      </c>
      <c r="C170" s="3">
        <v>2548</v>
      </c>
      <c r="D170" s="3">
        <v>35203</v>
      </c>
      <c r="E170" s="3">
        <v>3183</v>
      </c>
      <c r="F170" s="3">
        <v>1493</v>
      </c>
      <c r="G170" s="3">
        <v>5354</v>
      </c>
      <c r="H170" s="3">
        <v>216</v>
      </c>
      <c r="I170" s="3">
        <v>18109</v>
      </c>
      <c r="J170" s="3">
        <v>21013</v>
      </c>
      <c r="K170" s="3">
        <v>324</v>
      </c>
      <c r="L170" s="3">
        <v>121</v>
      </c>
      <c r="M170" s="3">
        <v>259</v>
      </c>
      <c r="N170" s="3">
        <v>428</v>
      </c>
      <c r="O170" s="3">
        <v>1160</v>
      </c>
      <c r="P170" s="3">
        <v>390</v>
      </c>
      <c r="Q170" s="3">
        <v>79</v>
      </c>
    </row>
    <row r="171" spans="2:17" s="6" customFormat="1" ht="9">
      <c r="B171" s="10" t="s">
        <v>133</v>
      </c>
      <c r="C171" s="7">
        <f>C170/42427</f>
        <v>0.06005609635373701</v>
      </c>
      <c r="D171" s="7">
        <f>D170/42427</f>
        <v>0.8297310674806138</v>
      </c>
      <c r="E171" s="7">
        <f>E170/42427</f>
        <v>0.07502298064911495</v>
      </c>
      <c r="F171" s="7">
        <f>F170/42427</f>
        <v>0.03518985551653428</v>
      </c>
      <c r="G171" s="7">
        <f aca="true" t="shared" si="22" ref="G171:M171">G170/45396</f>
        <v>0.11793990659970041</v>
      </c>
      <c r="H171" s="7">
        <f t="shared" si="22"/>
        <v>0.004758128469468675</v>
      </c>
      <c r="I171" s="7">
        <f t="shared" si="22"/>
        <v>0.3989117983963345</v>
      </c>
      <c r="J171" s="7">
        <f t="shared" si="22"/>
        <v>0.4628821922636356</v>
      </c>
      <c r="K171" s="7">
        <f t="shared" si="22"/>
        <v>0.007137192704203013</v>
      </c>
      <c r="L171" s="7">
        <f t="shared" si="22"/>
        <v>0.002665433077804212</v>
      </c>
      <c r="M171" s="7">
        <f t="shared" si="22"/>
        <v>0.005705348488853643</v>
      </c>
      <c r="N171" s="7">
        <f>N170/428</f>
        <v>1</v>
      </c>
      <c r="O171" s="7">
        <f>O170/1160</f>
        <v>1</v>
      </c>
      <c r="P171" s="7">
        <v>1</v>
      </c>
      <c r="Q171" s="7">
        <f>Q170/79</f>
        <v>1</v>
      </c>
    </row>
    <row r="172" spans="2:17" ht="4.5" customHeight="1"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9">
      <c r="A173" s="5" t="s">
        <v>96</v>
      </c>
      <c r="B173" s="1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9">
      <c r="B174" s="9" t="s">
        <v>93</v>
      </c>
      <c r="C174" s="3">
        <v>503</v>
      </c>
      <c r="D174" s="3">
        <v>5038</v>
      </c>
      <c r="E174" s="3">
        <v>538</v>
      </c>
      <c r="F174" s="3">
        <v>287</v>
      </c>
      <c r="G174" s="3">
        <v>1801</v>
      </c>
      <c r="H174" s="3">
        <v>61</v>
      </c>
      <c r="I174" s="3">
        <v>4219</v>
      </c>
      <c r="J174" s="3">
        <v>7280</v>
      </c>
      <c r="K174" s="3">
        <v>97</v>
      </c>
      <c r="L174" s="3">
        <v>42</v>
      </c>
      <c r="M174" s="3">
        <v>51</v>
      </c>
      <c r="N174" s="3">
        <v>90</v>
      </c>
      <c r="O174" s="3">
        <v>71</v>
      </c>
      <c r="P174" s="3">
        <v>72</v>
      </c>
      <c r="Q174" s="3">
        <v>8</v>
      </c>
    </row>
    <row r="175" spans="2:17" ht="9">
      <c r="B175" s="9" t="s">
        <v>94</v>
      </c>
      <c r="C175" s="3">
        <v>2063</v>
      </c>
      <c r="D175" s="3">
        <v>27652</v>
      </c>
      <c r="E175" s="3">
        <v>2739</v>
      </c>
      <c r="F175" s="3">
        <v>1445</v>
      </c>
      <c r="G175" s="3">
        <v>5501</v>
      </c>
      <c r="H175" s="3">
        <v>251</v>
      </c>
      <c r="I175" s="3">
        <v>24412</v>
      </c>
      <c r="J175" s="3">
        <v>26271</v>
      </c>
      <c r="K175" s="3">
        <v>287</v>
      </c>
      <c r="L175" s="3">
        <v>77</v>
      </c>
      <c r="M175" s="3">
        <v>356</v>
      </c>
      <c r="N175" s="3">
        <v>481</v>
      </c>
      <c r="O175" s="3">
        <v>518</v>
      </c>
      <c r="P175" s="3">
        <v>437</v>
      </c>
      <c r="Q175" s="3">
        <v>66</v>
      </c>
    </row>
    <row r="176" spans="1:17" ht="9">
      <c r="A176" s="4" t="s">
        <v>29</v>
      </c>
      <c r="C176" s="3">
        <v>2566</v>
      </c>
      <c r="D176" s="3">
        <v>32690</v>
      </c>
      <c r="E176" s="3">
        <v>3277</v>
      </c>
      <c r="F176" s="3">
        <v>1732</v>
      </c>
      <c r="G176" s="3">
        <v>7302</v>
      </c>
      <c r="H176" s="3">
        <v>312</v>
      </c>
      <c r="I176" s="3">
        <v>28631</v>
      </c>
      <c r="J176" s="3">
        <v>33551</v>
      </c>
      <c r="K176" s="3">
        <v>384</v>
      </c>
      <c r="L176" s="3">
        <v>119</v>
      </c>
      <c r="M176" s="3">
        <v>407</v>
      </c>
      <c r="N176" s="3">
        <v>571</v>
      </c>
      <c r="O176" s="3">
        <v>589</v>
      </c>
      <c r="P176" s="3">
        <v>509</v>
      </c>
      <c r="Q176" s="3">
        <v>74</v>
      </c>
    </row>
    <row r="177" spans="2:17" s="6" customFormat="1" ht="9">
      <c r="B177" s="10" t="s">
        <v>133</v>
      </c>
      <c r="C177" s="7">
        <f>C176/40265</f>
        <v>0.06372780330311685</v>
      </c>
      <c r="D177" s="7">
        <f>D176/40265</f>
        <v>0.8118713522910717</v>
      </c>
      <c r="E177" s="7">
        <f>E176/40265</f>
        <v>0.08138581894945983</v>
      </c>
      <c r="F177" s="7">
        <f>F176/40265</f>
        <v>0.04301502545635167</v>
      </c>
      <c r="G177" s="7">
        <f aca="true" t="shared" si="23" ref="G177:M177">G176/70706</f>
        <v>0.10327270670098719</v>
      </c>
      <c r="H177" s="7">
        <f t="shared" si="23"/>
        <v>0.004412638248522049</v>
      </c>
      <c r="I177" s="7">
        <f t="shared" si="23"/>
        <v>0.40493027465844483</v>
      </c>
      <c r="J177" s="7">
        <f t="shared" si="23"/>
        <v>0.47451418550052327</v>
      </c>
      <c r="K177" s="7">
        <f t="shared" si="23"/>
        <v>0.0054309393827963685</v>
      </c>
      <c r="L177" s="7">
        <f t="shared" si="23"/>
        <v>0.0016830254858144994</v>
      </c>
      <c r="M177" s="7">
        <f t="shared" si="23"/>
        <v>0.005756230022911775</v>
      </c>
      <c r="N177" s="7">
        <f>N176/571</f>
        <v>1</v>
      </c>
      <c r="O177" s="7">
        <f>O176/589</f>
        <v>1</v>
      </c>
      <c r="P177" s="7">
        <f>P176/509</f>
        <v>1</v>
      </c>
      <c r="Q177" s="7">
        <f>Q176/74</f>
        <v>1</v>
      </c>
    </row>
    <row r="178" spans="2:17" ht="4.5" customHeight="1"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9">
      <c r="A179" s="5" t="s">
        <v>100</v>
      </c>
      <c r="B179" s="1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9">
      <c r="B180" s="9" t="s">
        <v>97</v>
      </c>
      <c r="C180" s="3">
        <v>111</v>
      </c>
      <c r="D180" s="3">
        <v>1398</v>
      </c>
      <c r="E180" s="3">
        <v>169</v>
      </c>
      <c r="F180" s="3">
        <v>133</v>
      </c>
      <c r="G180" s="3">
        <v>597</v>
      </c>
      <c r="H180" s="3">
        <v>24</v>
      </c>
      <c r="I180" s="3">
        <v>988</v>
      </c>
      <c r="J180" s="3">
        <v>1378</v>
      </c>
      <c r="K180" s="3">
        <v>47</v>
      </c>
      <c r="L180" s="3">
        <v>6</v>
      </c>
      <c r="M180" s="3">
        <v>31</v>
      </c>
      <c r="N180" s="3">
        <v>78</v>
      </c>
      <c r="O180" s="3">
        <v>35</v>
      </c>
      <c r="P180" s="3">
        <v>27</v>
      </c>
      <c r="Q180" s="3">
        <v>4</v>
      </c>
    </row>
    <row r="181" spans="2:17" ht="9">
      <c r="B181" s="9" t="s">
        <v>90</v>
      </c>
      <c r="C181" s="3">
        <v>1564</v>
      </c>
      <c r="D181" s="3">
        <v>12323</v>
      </c>
      <c r="E181" s="3">
        <v>2043</v>
      </c>
      <c r="F181" s="3">
        <v>1258</v>
      </c>
      <c r="G181" s="3">
        <v>3197</v>
      </c>
      <c r="H181" s="3">
        <v>150</v>
      </c>
      <c r="I181" s="3">
        <v>14812</v>
      </c>
      <c r="J181" s="3">
        <v>16121</v>
      </c>
      <c r="K181" s="3">
        <v>239</v>
      </c>
      <c r="L181" s="3">
        <v>59</v>
      </c>
      <c r="M181" s="3">
        <v>175</v>
      </c>
      <c r="N181" s="3">
        <v>374</v>
      </c>
      <c r="O181" s="3">
        <v>133</v>
      </c>
      <c r="P181" s="3">
        <v>218</v>
      </c>
      <c r="Q181" s="3">
        <v>92</v>
      </c>
    </row>
    <row r="182" spans="2:17" ht="9">
      <c r="B182" s="9" t="s">
        <v>98</v>
      </c>
      <c r="C182" s="3">
        <v>35</v>
      </c>
      <c r="D182" s="3">
        <v>612</v>
      </c>
      <c r="E182" s="3">
        <v>84</v>
      </c>
      <c r="F182" s="3">
        <v>31</v>
      </c>
      <c r="G182" s="3">
        <v>237</v>
      </c>
      <c r="H182" s="3">
        <v>14</v>
      </c>
      <c r="I182" s="3">
        <v>420</v>
      </c>
      <c r="J182" s="3">
        <v>572</v>
      </c>
      <c r="K182" s="3">
        <v>24</v>
      </c>
      <c r="L182" s="3">
        <v>3</v>
      </c>
      <c r="M182" s="3">
        <v>10</v>
      </c>
      <c r="N182" s="3">
        <v>28</v>
      </c>
      <c r="O182" s="3">
        <v>21</v>
      </c>
      <c r="P182" s="3">
        <v>12</v>
      </c>
      <c r="Q182" s="3">
        <v>1</v>
      </c>
    </row>
    <row r="183" spans="2:17" ht="9">
      <c r="B183" s="9" t="s">
        <v>99</v>
      </c>
      <c r="C183" s="3">
        <v>471</v>
      </c>
      <c r="D183" s="3">
        <v>3950</v>
      </c>
      <c r="E183" s="3">
        <v>532</v>
      </c>
      <c r="F183" s="3">
        <v>353</v>
      </c>
      <c r="G183" s="3">
        <v>816</v>
      </c>
      <c r="H183" s="3">
        <v>63</v>
      </c>
      <c r="I183" s="3">
        <v>2603</v>
      </c>
      <c r="J183" s="3">
        <v>3919</v>
      </c>
      <c r="K183" s="3">
        <v>98</v>
      </c>
      <c r="L183" s="3">
        <v>27</v>
      </c>
      <c r="M183" s="3">
        <v>72</v>
      </c>
      <c r="N183" s="3">
        <v>139</v>
      </c>
      <c r="O183" s="3">
        <v>27</v>
      </c>
      <c r="P183" s="3">
        <v>55</v>
      </c>
      <c r="Q183" s="3">
        <v>3</v>
      </c>
    </row>
    <row r="184" spans="1:17" ht="9">
      <c r="A184" s="4" t="s">
        <v>29</v>
      </c>
      <c r="C184" s="3">
        <v>2181</v>
      </c>
      <c r="D184" s="3">
        <v>18283</v>
      </c>
      <c r="E184" s="3">
        <v>2828</v>
      </c>
      <c r="F184" s="3">
        <v>1775</v>
      </c>
      <c r="G184" s="3">
        <v>4847</v>
      </c>
      <c r="H184" s="3">
        <v>251</v>
      </c>
      <c r="I184" s="3">
        <v>18823</v>
      </c>
      <c r="J184" s="3">
        <v>21990</v>
      </c>
      <c r="K184" s="3">
        <v>408</v>
      </c>
      <c r="L184" s="3">
        <v>95</v>
      </c>
      <c r="M184" s="3">
        <v>288</v>
      </c>
      <c r="N184" s="3">
        <v>619</v>
      </c>
      <c r="O184" s="3">
        <v>216</v>
      </c>
      <c r="P184" s="3">
        <v>312</v>
      </c>
      <c r="Q184" s="3">
        <v>100</v>
      </c>
    </row>
    <row r="185" spans="2:17" s="6" customFormat="1" ht="9">
      <c r="B185" s="10" t="s">
        <v>133</v>
      </c>
      <c r="C185" s="7">
        <f>C184/25067</f>
        <v>0.0870068217177963</v>
      </c>
      <c r="D185" s="7">
        <f>D184/25067</f>
        <v>0.7293653009933379</v>
      </c>
      <c r="E185" s="7">
        <f>E184/25067</f>
        <v>0.11281764870148003</v>
      </c>
      <c r="F185" s="7">
        <f>F184/25067</f>
        <v>0.07081022858738581</v>
      </c>
      <c r="G185" s="7">
        <f aca="true" t="shared" si="24" ref="G185:M185">G184/46702</f>
        <v>0.10378570510898891</v>
      </c>
      <c r="H185" s="7">
        <f t="shared" si="24"/>
        <v>0.005374502162648281</v>
      </c>
      <c r="I185" s="7">
        <f t="shared" si="24"/>
        <v>0.40304483748019354</v>
      </c>
      <c r="J185" s="7">
        <f t="shared" si="24"/>
        <v>0.47085777911010235</v>
      </c>
      <c r="K185" s="7">
        <f t="shared" si="24"/>
        <v>0.008736242559205173</v>
      </c>
      <c r="L185" s="7">
        <f t="shared" si="24"/>
        <v>0.0020341741253051262</v>
      </c>
      <c r="M185" s="7">
        <f t="shared" si="24"/>
        <v>0.006166759453556593</v>
      </c>
      <c r="N185" s="7">
        <f>N184/619</f>
        <v>1</v>
      </c>
      <c r="O185" s="7">
        <f>O184/216</f>
        <v>1</v>
      </c>
      <c r="P185" s="7">
        <v>1</v>
      </c>
      <c r="Q185" s="7">
        <f>Q184/100</f>
        <v>1</v>
      </c>
    </row>
    <row r="186" spans="2:17" ht="4.5" customHeight="1">
      <c r="B186" s="1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9">
      <c r="A187" s="5" t="s">
        <v>101</v>
      </c>
      <c r="B187" s="1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9">
      <c r="B188" s="9" t="s">
        <v>90</v>
      </c>
      <c r="C188" s="3">
        <v>1662</v>
      </c>
      <c r="D188" s="3">
        <v>16437</v>
      </c>
      <c r="E188" s="3">
        <v>1724</v>
      </c>
      <c r="F188" s="3">
        <v>1040</v>
      </c>
      <c r="G188" s="3">
        <v>3204</v>
      </c>
      <c r="H188" s="3">
        <v>112</v>
      </c>
      <c r="I188" s="3">
        <v>20428</v>
      </c>
      <c r="J188" s="3">
        <v>18092</v>
      </c>
      <c r="K188" s="3">
        <v>219</v>
      </c>
      <c r="L188" s="3">
        <v>54</v>
      </c>
      <c r="M188" s="3">
        <v>175</v>
      </c>
      <c r="N188" s="3">
        <v>278</v>
      </c>
      <c r="O188" s="3">
        <v>232</v>
      </c>
      <c r="P188" s="3">
        <v>222</v>
      </c>
      <c r="Q188" s="3">
        <v>91</v>
      </c>
    </row>
    <row r="189" spans="2:17" ht="9">
      <c r="B189" s="9" t="s">
        <v>99</v>
      </c>
      <c r="C189" s="3">
        <v>1029</v>
      </c>
      <c r="D189" s="3">
        <v>7413</v>
      </c>
      <c r="E189" s="3">
        <v>759</v>
      </c>
      <c r="F189" s="3">
        <v>534</v>
      </c>
      <c r="G189" s="3">
        <v>1633</v>
      </c>
      <c r="H189" s="3">
        <v>73</v>
      </c>
      <c r="I189" s="3">
        <v>7384</v>
      </c>
      <c r="J189" s="3">
        <v>8657</v>
      </c>
      <c r="K189" s="3">
        <v>151</v>
      </c>
      <c r="L189" s="3">
        <v>74</v>
      </c>
      <c r="M189" s="3">
        <v>116</v>
      </c>
      <c r="N189" s="3">
        <v>141</v>
      </c>
      <c r="O189" s="3">
        <v>107</v>
      </c>
      <c r="P189" s="3">
        <v>103</v>
      </c>
      <c r="Q189" s="3">
        <v>7</v>
      </c>
    </row>
    <row r="190" spans="1:17" ht="9">
      <c r="A190" s="4" t="s">
        <v>29</v>
      </c>
      <c r="C190" s="3">
        <v>2691</v>
      </c>
      <c r="D190" s="3">
        <v>23850</v>
      </c>
      <c r="E190" s="3">
        <v>2483</v>
      </c>
      <c r="F190" s="3">
        <v>1574</v>
      </c>
      <c r="G190" s="3">
        <v>4837</v>
      </c>
      <c r="H190" s="3">
        <v>185</v>
      </c>
      <c r="I190" s="3">
        <v>27812</v>
      </c>
      <c r="J190" s="3">
        <v>26749</v>
      </c>
      <c r="K190" s="3">
        <v>370</v>
      </c>
      <c r="L190" s="3">
        <v>128</v>
      </c>
      <c r="M190" s="3">
        <v>291</v>
      </c>
      <c r="N190" s="3">
        <v>419</v>
      </c>
      <c r="O190" s="3">
        <v>339</v>
      </c>
      <c r="P190" s="3">
        <v>325</v>
      </c>
      <c r="Q190" s="3">
        <v>98</v>
      </c>
    </row>
    <row r="191" spans="2:17" s="6" customFormat="1" ht="9">
      <c r="B191" s="10" t="s">
        <v>133</v>
      </c>
      <c r="C191" s="7">
        <f>C190/30598</f>
        <v>0.0879469246355971</v>
      </c>
      <c r="D191" s="7">
        <f>D190/30598</f>
        <v>0.7794627099810445</v>
      </c>
      <c r="E191" s="7">
        <f>E190/30598</f>
        <v>0.08114909471207268</v>
      </c>
      <c r="F191" s="7">
        <f>F190/30598</f>
        <v>0.051441270671285705</v>
      </c>
      <c r="G191" s="7">
        <f aca="true" t="shared" si="25" ref="G191:M191">G190/60372</f>
        <v>0.08011992314317895</v>
      </c>
      <c r="H191" s="7">
        <f t="shared" si="25"/>
        <v>0.003064334459683297</v>
      </c>
      <c r="I191" s="7">
        <f t="shared" si="25"/>
        <v>0.46067713509573976</v>
      </c>
      <c r="J191" s="7">
        <f t="shared" si="25"/>
        <v>0.44306963493010004</v>
      </c>
      <c r="K191" s="7">
        <f t="shared" si="25"/>
        <v>0.006128668919366594</v>
      </c>
      <c r="L191" s="7">
        <f t="shared" si="25"/>
        <v>0.0021201881666997944</v>
      </c>
      <c r="M191" s="7">
        <f t="shared" si="25"/>
        <v>0.004820115285231564</v>
      </c>
      <c r="N191" s="7">
        <f>N190/419</f>
        <v>1</v>
      </c>
      <c r="O191" s="7">
        <f>O190/339</f>
        <v>1</v>
      </c>
      <c r="P191" s="7">
        <v>1</v>
      </c>
      <c r="Q191" s="7">
        <f>Q190/98</f>
        <v>1</v>
      </c>
    </row>
    <row r="192" spans="2:17" ht="4.5" customHeight="1"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9">
      <c r="A193" s="5" t="s">
        <v>102</v>
      </c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9">
      <c r="B194" s="9" t="s">
        <v>90</v>
      </c>
      <c r="C194" s="3">
        <v>2259</v>
      </c>
      <c r="D194" s="3">
        <v>29521</v>
      </c>
      <c r="E194" s="3">
        <v>3129</v>
      </c>
      <c r="F194" s="3">
        <v>2034</v>
      </c>
      <c r="G194" s="3">
        <v>2732</v>
      </c>
      <c r="H194" s="3">
        <v>125</v>
      </c>
      <c r="I194" s="3">
        <v>14236</v>
      </c>
      <c r="J194" s="3">
        <v>14523</v>
      </c>
      <c r="K194" s="3">
        <v>200</v>
      </c>
      <c r="L194" s="3">
        <v>65</v>
      </c>
      <c r="M194" s="3">
        <v>154</v>
      </c>
      <c r="N194" s="3">
        <v>376</v>
      </c>
      <c r="O194" s="3">
        <v>303</v>
      </c>
      <c r="P194" s="3">
        <v>321</v>
      </c>
      <c r="Q194" s="3">
        <v>139</v>
      </c>
    </row>
    <row r="195" spans="1:17" ht="9">
      <c r="A195" s="4" t="s">
        <v>29</v>
      </c>
      <c r="C195" s="3">
        <v>2259</v>
      </c>
      <c r="D195" s="3">
        <v>29521</v>
      </c>
      <c r="E195" s="3">
        <v>3129</v>
      </c>
      <c r="F195" s="3">
        <v>2034</v>
      </c>
      <c r="G195" s="3">
        <v>2732</v>
      </c>
      <c r="H195" s="3">
        <v>125</v>
      </c>
      <c r="I195" s="3">
        <v>14236</v>
      </c>
      <c r="J195" s="3">
        <v>14523</v>
      </c>
      <c r="K195" s="3">
        <v>200</v>
      </c>
      <c r="L195" s="3">
        <v>65</v>
      </c>
      <c r="M195" s="3">
        <v>154</v>
      </c>
      <c r="N195" s="3">
        <v>376</v>
      </c>
      <c r="O195" s="3">
        <v>303</v>
      </c>
      <c r="P195" s="3">
        <v>321</v>
      </c>
      <c r="Q195" s="3">
        <v>139</v>
      </c>
    </row>
    <row r="196" spans="2:17" s="6" customFormat="1" ht="9">
      <c r="B196" s="10" t="s">
        <v>133</v>
      </c>
      <c r="C196" s="7">
        <f>C195/36943</f>
        <v>0.06114825542051268</v>
      </c>
      <c r="D196" s="7">
        <f>D195/36943</f>
        <v>0.7990959045015293</v>
      </c>
      <c r="E196" s="7">
        <f>E195/36943</f>
        <v>0.08469804834474731</v>
      </c>
      <c r="F196" s="7">
        <f>F195/36943</f>
        <v>0.05505779173321062</v>
      </c>
      <c r="G196" s="7">
        <f aca="true" t="shared" si="26" ref="G196:M196">G195/32035</f>
        <v>0.0852817231153426</v>
      </c>
      <c r="H196" s="7">
        <f t="shared" si="26"/>
        <v>0.003901982206961136</v>
      </c>
      <c r="I196" s="7">
        <f t="shared" si="26"/>
        <v>0.44438894958638986</v>
      </c>
      <c r="J196" s="7">
        <f t="shared" si="26"/>
        <v>0.4533479007335727</v>
      </c>
      <c r="K196" s="7">
        <f t="shared" si="26"/>
        <v>0.006243171531137818</v>
      </c>
      <c r="L196" s="7">
        <f t="shared" si="26"/>
        <v>0.002029030747619791</v>
      </c>
      <c r="M196" s="7">
        <f t="shared" si="26"/>
        <v>0.00480724207897612</v>
      </c>
      <c r="N196" s="7">
        <f>N195/376</f>
        <v>1</v>
      </c>
      <c r="O196" s="7">
        <f>O195/303</f>
        <v>1</v>
      </c>
      <c r="P196" s="7">
        <f>P195/321</f>
        <v>1</v>
      </c>
      <c r="Q196" s="7">
        <f>Q195/139</f>
        <v>1</v>
      </c>
    </row>
    <row r="197" spans="2:17" ht="4.5" customHeight="1">
      <c r="B197" s="1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9">
      <c r="A198" s="5" t="s">
        <v>103</v>
      </c>
      <c r="B198" s="1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9">
      <c r="B199" s="9" t="s">
        <v>90</v>
      </c>
      <c r="C199" s="3">
        <v>2014</v>
      </c>
      <c r="D199" s="3">
        <v>31870</v>
      </c>
      <c r="E199" s="3">
        <v>2803</v>
      </c>
      <c r="F199" s="3">
        <v>1526</v>
      </c>
      <c r="G199" s="3">
        <v>1377</v>
      </c>
      <c r="H199" s="3">
        <v>92</v>
      </c>
      <c r="I199" s="3">
        <v>9177</v>
      </c>
      <c r="J199" s="3">
        <v>6578</v>
      </c>
      <c r="K199" s="3">
        <v>114</v>
      </c>
      <c r="L199" s="3">
        <v>60</v>
      </c>
      <c r="M199" s="3">
        <v>126</v>
      </c>
      <c r="N199" s="3">
        <v>292</v>
      </c>
      <c r="O199" s="3">
        <v>251</v>
      </c>
      <c r="P199" s="3">
        <v>201</v>
      </c>
      <c r="Q199" s="3">
        <v>165</v>
      </c>
    </row>
    <row r="200" spans="1:17" ht="9">
      <c r="A200" s="4" t="s">
        <v>29</v>
      </c>
      <c r="C200" s="3">
        <v>2014</v>
      </c>
      <c r="D200" s="3">
        <v>31870</v>
      </c>
      <c r="E200" s="3">
        <v>2803</v>
      </c>
      <c r="F200" s="3">
        <v>1526</v>
      </c>
      <c r="G200" s="3">
        <v>1377</v>
      </c>
      <c r="H200" s="3">
        <v>92</v>
      </c>
      <c r="I200" s="3">
        <v>9177</v>
      </c>
      <c r="J200" s="3">
        <v>6578</v>
      </c>
      <c r="K200" s="3">
        <v>114</v>
      </c>
      <c r="L200" s="3">
        <v>60</v>
      </c>
      <c r="M200" s="3">
        <v>126</v>
      </c>
      <c r="N200" s="3">
        <v>292</v>
      </c>
      <c r="O200" s="3">
        <v>251</v>
      </c>
      <c r="P200" s="3">
        <v>201</v>
      </c>
      <c r="Q200" s="3">
        <v>165</v>
      </c>
    </row>
    <row r="201" spans="2:17" s="6" customFormat="1" ht="9">
      <c r="B201" s="10" t="s">
        <v>133</v>
      </c>
      <c r="C201" s="7">
        <f>C200/38213</f>
        <v>0.052704576976421634</v>
      </c>
      <c r="D201" s="7">
        <f>D200/38213</f>
        <v>0.8340093685395022</v>
      </c>
      <c r="E201" s="7">
        <f>E200/38213</f>
        <v>0.07335200062805851</v>
      </c>
      <c r="F201" s="7">
        <f>F200/38213</f>
        <v>0.03993405385601759</v>
      </c>
      <c r="G201" s="7">
        <f aca="true" t="shared" si="27" ref="G201:M201">G200/17524</f>
        <v>0.0785779502396713</v>
      </c>
      <c r="H201" s="7">
        <f t="shared" si="27"/>
        <v>0.005249942935402876</v>
      </c>
      <c r="I201" s="7">
        <f t="shared" si="27"/>
        <v>0.5236818078064369</v>
      </c>
      <c r="J201" s="7">
        <f t="shared" si="27"/>
        <v>0.37537091988130566</v>
      </c>
      <c r="K201" s="7">
        <f t="shared" si="27"/>
        <v>0.006505364072129651</v>
      </c>
      <c r="L201" s="7">
        <f t="shared" si="27"/>
        <v>0.003423875827436658</v>
      </c>
      <c r="M201" s="7">
        <f t="shared" si="27"/>
        <v>0.007190139237616982</v>
      </c>
      <c r="N201" s="7">
        <f>N200/292</f>
        <v>1</v>
      </c>
      <c r="O201" s="7">
        <f>O200/251</f>
        <v>1</v>
      </c>
      <c r="P201" s="7">
        <f>P200/201</f>
        <v>1</v>
      </c>
      <c r="Q201" s="7">
        <f>Q200/165</f>
        <v>1</v>
      </c>
    </row>
    <row r="202" spans="2:17" ht="4.5" customHeight="1">
      <c r="B202" s="1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9">
      <c r="A203" s="5" t="s">
        <v>104</v>
      </c>
      <c r="B203" s="1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9">
      <c r="B204" s="9" t="s">
        <v>90</v>
      </c>
      <c r="C204" s="3">
        <v>1991</v>
      </c>
      <c r="D204" s="3">
        <v>26228</v>
      </c>
      <c r="E204" s="3">
        <v>2696</v>
      </c>
      <c r="F204" s="3">
        <v>1402</v>
      </c>
      <c r="G204" s="3">
        <v>2972</v>
      </c>
      <c r="H204" s="3">
        <v>193</v>
      </c>
      <c r="I204" s="3">
        <v>16854</v>
      </c>
      <c r="J204" s="3">
        <v>14621</v>
      </c>
      <c r="K204" s="3">
        <v>216</v>
      </c>
      <c r="L204" s="3">
        <v>75</v>
      </c>
      <c r="M204" s="3">
        <v>236</v>
      </c>
      <c r="N204" s="3">
        <v>275</v>
      </c>
      <c r="O204" s="3">
        <v>366</v>
      </c>
      <c r="P204" s="3">
        <v>239</v>
      </c>
      <c r="Q204" s="3">
        <v>127</v>
      </c>
    </row>
    <row r="205" spans="1:17" ht="9">
      <c r="A205" s="4" t="s">
        <v>29</v>
      </c>
      <c r="C205" s="3">
        <v>1991</v>
      </c>
      <c r="D205" s="3">
        <v>26228</v>
      </c>
      <c r="E205" s="3">
        <v>2696</v>
      </c>
      <c r="F205" s="3">
        <v>1402</v>
      </c>
      <c r="G205" s="3">
        <v>2972</v>
      </c>
      <c r="H205" s="3">
        <v>193</v>
      </c>
      <c r="I205" s="3">
        <v>16854</v>
      </c>
      <c r="J205" s="3">
        <v>14621</v>
      </c>
      <c r="K205" s="3">
        <v>216</v>
      </c>
      <c r="L205" s="3">
        <v>75</v>
      </c>
      <c r="M205" s="3">
        <v>236</v>
      </c>
      <c r="N205" s="3">
        <v>275</v>
      </c>
      <c r="O205" s="3">
        <v>366</v>
      </c>
      <c r="P205" s="3">
        <v>239</v>
      </c>
      <c r="Q205" s="3">
        <v>127</v>
      </c>
    </row>
    <row r="206" spans="2:17" s="6" customFormat="1" ht="9">
      <c r="B206" s="10" t="s">
        <v>133</v>
      </c>
      <c r="C206" s="7">
        <f>C205/32317</f>
        <v>0.06160844137760312</v>
      </c>
      <c r="D206" s="7">
        <f>D205/32317</f>
        <v>0.8115852337778878</v>
      </c>
      <c r="E206" s="7">
        <f>E205/32317</f>
        <v>0.08342358511000403</v>
      </c>
      <c r="F206" s="7">
        <f>F205/32317</f>
        <v>0.04338273973450506</v>
      </c>
      <c r="G206" s="7">
        <f aca="true" t="shared" si="28" ref="G206:M206">G205/35167</f>
        <v>0.08451104728865129</v>
      </c>
      <c r="H206" s="7">
        <f t="shared" si="28"/>
        <v>0.0054880996388659824</v>
      </c>
      <c r="I206" s="7">
        <f t="shared" si="28"/>
        <v>0.4792561207950636</v>
      </c>
      <c r="J206" s="7">
        <f t="shared" si="28"/>
        <v>0.4157590923308784</v>
      </c>
      <c r="K206" s="7">
        <f t="shared" si="28"/>
        <v>0.006142121875622032</v>
      </c>
      <c r="L206" s="7">
        <f t="shared" si="28"/>
        <v>0.0021326812068132054</v>
      </c>
      <c r="M206" s="7">
        <f t="shared" si="28"/>
        <v>0.006710836864105553</v>
      </c>
      <c r="N206" s="7">
        <f>N205/275</f>
        <v>1</v>
      </c>
      <c r="O206" s="7">
        <f>O205/366</f>
        <v>1</v>
      </c>
      <c r="P206" s="7">
        <v>1</v>
      </c>
      <c r="Q206" s="7">
        <f>Q205/127</f>
        <v>1</v>
      </c>
    </row>
    <row r="207" spans="2:17" ht="4.5" customHeight="1"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9">
      <c r="A208" s="5" t="s">
        <v>105</v>
      </c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9">
      <c r="B209" s="9" t="s">
        <v>90</v>
      </c>
      <c r="C209" s="3">
        <v>2382</v>
      </c>
      <c r="D209" s="3">
        <v>48058</v>
      </c>
      <c r="E209" s="3">
        <v>3713</v>
      </c>
      <c r="F209" s="3">
        <v>2435</v>
      </c>
      <c r="G209" s="3">
        <v>2639</v>
      </c>
      <c r="H209" s="3">
        <v>127</v>
      </c>
      <c r="I209" s="3">
        <v>23526</v>
      </c>
      <c r="J209" s="3">
        <v>15122</v>
      </c>
      <c r="K209" s="3">
        <v>148</v>
      </c>
      <c r="L209" s="3">
        <v>62</v>
      </c>
      <c r="M209" s="3">
        <v>146</v>
      </c>
      <c r="N209" s="3">
        <v>318</v>
      </c>
      <c r="O209" s="3">
        <v>720</v>
      </c>
      <c r="P209" s="3">
        <v>395</v>
      </c>
      <c r="Q209" s="3">
        <v>146</v>
      </c>
    </row>
    <row r="210" spans="1:17" ht="9">
      <c r="A210" s="4" t="s">
        <v>29</v>
      </c>
      <c r="C210" s="3">
        <v>2382</v>
      </c>
      <c r="D210" s="3">
        <v>48058</v>
      </c>
      <c r="E210" s="3">
        <v>3713</v>
      </c>
      <c r="F210" s="3">
        <v>2435</v>
      </c>
      <c r="G210" s="3">
        <v>2639</v>
      </c>
      <c r="H210" s="3">
        <v>127</v>
      </c>
      <c r="I210" s="3">
        <v>23526</v>
      </c>
      <c r="J210" s="3">
        <v>15122</v>
      </c>
      <c r="K210" s="3">
        <v>148</v>
      </c>
      <c r="L210" s="3">
        <v>62</v>
      </c>
      <c r="M210" s="3">
        <v>146</v>
      </c>
      <c r="N210" s="3">
        <v>318</v>
      </c>
      <c r="O210" s="3">
        <v>720</v>
      </c>
      <c r="P210" s="3">
        <v>395</v>
      </c>
      <c r="Q210" s="3">
        <v>146</v>
      </c>
    </row>
    <row r="211" spans="2:17" s="6" customFormat="1" ht="9">
      <c r="B211" s="10" t="s">
        <v>133</v>
      </c>
      <c r="C211" s="7">
        <f>C210/56588</f>
        <v>0.04209373011945996</v>
      </c>
      <c r="D211" s="7">
        <f>D210/56588</f>
        <v>0.8492613274899272</v>
      </c>
      <c r="E211" s="7">
        <f>E210/56588</f>
        <v>0.06561461794019934</v>
      </c>
      <c r="F211" s="7">
        <f>F210/56588</f>
        <v>0.043030324450413514</v>
      </c>
      <c r="G211" s="7">
        <f aca="true" t="shared" si="29" ref="G211:M211">G210/41770</f>
        <v>0.06317931529806081</v>
      </c>
      <c r="H211" s="7">
        <f t="shared" si="29"/>
        <v>0.0030404596600430932</v>
      </c>
      <c r="I211" s="7">
        <f t="shared" si="29"/>
        <v>0.5632271965525497</v>
      </c>
      <c r="J211" s="7">
        <f t="shared" si="29"/>
        <v>0.362030165190328</v>
      </c>
      <c r="K211" s="7">
        <f t="shared" si="29"/>
        <v>0.003543212832176203</v>
      </c>
      <c r="L211" s="7">
        <f t="shared" si="29"/>
        <v>0.0014843188891548959</v>
      </c>
      <c r="M211" s="7">
        <f t="shared" si="29"/>
        <v>0.0034953315776873354</v>
      </c>
      <c r="N211" s="7">
        <f>N210/318</f>
        <v>1</v>
      </c>
      <c r="O211" s="7">
        <f>O210/720</f>
        <v>1</v>
      </c>
      <c r="P211" s="7">
        <f>P210/395</f>
        <v>1</v>
      </c>
      <c r="Q211" s="7">
        <f>Q210/146</f>
        <v>1</v>
      </c>
    </row>
    <row r="212" spans="2:17" ht="4.5" customHeight="1">
      <c r="B212" s="1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9">
      <c r="A213" s="5" t="s">
        <v>106</v>
      </c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9">
      <c r="B214" s="9" t="s">
        <v>90</v>
      </c>
      <c r="C214" s="3">
        <v>1133</v>
      </c>
      <c r="D214" s="3">
        <v>22114</v>
      </c>
      <c r="E214" s="3">
        <v>2452</v>
      </c>
      <c r="F214" s="3">
        <v>842</v>
      </c>
      <c r="G214" s="3">
        <v>633</v>
      </c>
      <c r="H214" s="3">
        <v>55</v>
      </c>
      <c r="I214" s="3">
        <v>4477</v>
      </c>
      <c r="J214" s="3">
        <v>2652</v>
      </c>
      <c r="K214" s="3">
        <v>94</v>
      </c>
      <c r="L214" s="3">
        <v>33</v>
      </c>
      <c r="M214" s="3">
        <v>74</v>
      </c>
      <c r="N214" s="3">
        <v>219</v>
      </c>
      <c r="O214" s="3">
        <v>299</v>
      </c>
      <c r="P214" s="3">
        <v>130</v>
      </c>
      <c r="Q214" s="3">
        <v>109</v>
      </c>
    </row>
    <row r="215" spans="1:17" ht="9">
      <c r="A215" s="4" t="s">
        <v>29</v>
      </c>
      <c r="C215" s="3">
        <v>1133</v>
      </c>
      <c r="D215" s="3">
        <v>22114</v>
      </c>
      <c r="E215" s="3">
        <v>2452</v>
      </c>
      <c r="F215" s="3">
        <v>842</v>
      </c>
      <c r="G215" s="3">
        <v>633</v>
      </c>
      <c r="H215" s="3">
        <v>55</v>
      </c>
      <c r="I215" s="3">
        <v>4477</v>
      </c>
      <c r="J215" s="3">
        <v>2652</v>
      </c>
      <c r="K215" s="3">
        <v>94</v>
      </c>
      <c r="L215" s="3">
        <v>33</v>
      </c>
      <c r="M215" s="3">
        <v>74</v>
      </c>
      <c r="N215" s="3">
        <v>219</v>
      </c>
      <c r="O215" s="3">
        <v>299</v>
      </c>
      <c r="P215" s="3">
        <v>130</v>
      </c>
      <c r="Q215" s="3">
        <v>109</v>
      </c>
    </row>
    <row r="216" spans="2:17" s="6" customFormat="1" ht="9">
      <c r="B216" s="10" t="s">
        <v>133</v>
      </c>
      <c r="C216" s="7">
        <f>C215/26541</f>
        <v>0.0426886703590671</v>
      </c>
      <c r="D216" s="7">
        <f>D215/26541</f>
        <v>0.8332014618891527</v>
      </c>
      <c r="E216" s="7">
        <f>E215/26541</f>
        <v>0.0923853660374515</v>
      </c>
      <c r="F216" s="7">
        <f>F215/26541</f>
        <v>0.03172450171432877</v>
      </c>
      <c r="G216" s="7">
        <f aca="true" t="shared" si="30" ref="G216:M216">G215/8018</f>
        <v>0.07894736842105263</v>
      </c>
      <c r="H216" s="7">
        <f t="shared" si="30"/>
        <v>0.006859565976552756</v>
      </c>
      <c r="I216" s="7">
        <f t="shared" si="30"/>
        <v>0.5583686704913944</v>
      </c>
      <c r="J216" s="7">
        <f t="shared" si="30"/>
        <v>0.33075579945123473</v>
      </c>
      <c r="K216" s="7">
        <f t="shared" si="30"/>
        <v>0.011723621850835619</v>
      </c>
      <c r="L216" s="7">
        <f t="shared" si="30"/>
        <v>0.004115739585931654</v>
      </c>
      <c r="M216" s="7">
        <f t="shared" si="30"/>
        <v>0.009229234222998255</v>
      </c>
      <c r="N216" s="7">
        <f>N215/219</f>
        <v>1</v>
      </c>
      <c r="O216" s="7">
        <f>O215/299</f>
        <v>1</v>
      </c>
      <c r="P216" s="7">
        <v>1</v>
      </c>
      <c r="Q216" s="7">
        <f>Q215/109</f>
        <v>1</v>
      </c>
    </row>
    <row r="217" spans="2:17" ht="4.5" customHeight="1">
      <c r="B217" s="1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9">
      <c r="A218" s="5" t="s">
        <v>107</v>
      </c>
      <c r="B218" s="1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9">
      <c r="B219" s="9" t="s">
        <v>90</v>
      </c>
      <c r="C219" s="3">
        <v>1741</v>
      </c>
      <c r="D219" s="3">
        <v>21326</v>
      </c>
      <c r="E219" s="3">
        <v>2767</v>
      </c>
      <c r="F219" s="3">
        <v>873</v>
      </c>
      <c r="G219" s="3">
        <v>1670</v>
      </c>
      <c r="H219" s="3">
        <v>121</v>
      </c>
      <c r="I219" s="3">
        <v>7105</v>
      </c>
      <c r="J219" s="3">
        <v>6984</v>
      </c>
      <c r="K219" s="3">
        <v>146</v>
      </c>
      <c r="L219" s="3">
        <v>76</v>
      </c>
      <c r="M219" s="3">
        <v>114</v>
      </c>
      <c r="N219" s="3">
        <v>258</v>
      </c>
      <c r="O219" s="3">
        <v>103</v>
      </c>
      <c r="P219" s="3">
        <v>89</v>
      </c>
      <c r="Q219" s="3">
        <v>133</v>
      </c>
    </row>
    <row r="220" spans="1:17" ht="9">
      <c r="A220" s="4" t="s">
        <v>29</v>
      </c>
      <c r="C220" s="3">
        <v>1741</v>
      </c>
      <c r="D220" s="3">
        <v>21326</v>
      </c>
      <c r="E220" s="3">
        <v>2767</v>
      </c>
      <c r="F220" s="3">
        <v>873</v>
      </c>
      <c r="G220" s="3">
        <v>1670</v>
      </c>
      <c r="H220" s="3">
        <v>121</v>
      </c>
      <c r="I220" s="3">
        <v>7105</v>
      </c>
      <c r="J220" s="3">
        <v>6984</v>
      </c>
      <c r="K220" s="3">
        <v>146</v>
      </c>
      <c r="L220" s="3">
        <v>76</v>
      </c>
      <c r="M220" s="3">
        <v>114</v>
      </c>
      <c r="N220" s="3">
        <v>258</v>
      </c>
      <c r="O220" s="3">
        <v>103</v>
      </c>
      <c r="P220" s="3">
        <v>89</v>
      </c>
      <c r="Q220" s="3">
        <v>133</v>
      </c>
    </row>
    <row r="221" spans="2:17" s="6" customFormat="1" ht="9">
      <c r="B221" s="10" t="s">
        <v>133</v>
      </c>
      <c r="C221" s="7">
        <f>C220/26707</f>
        <v>0.0651889017860486</v>
      </c>
      <c r="D221" s="7">
        <f>D220/26707</f>
        <v>0.798517242670461</v>
      </c>
      <c r="E221" s="7">
        <f>E220/26707</f>
        <v>0.1036057962331973</v>
      </c>
      <c r="F221" s="7">
        <f>F220/26707</f>
        <v>0.03268805931029318</v>
      </c>
      <c r="G221" s="7">
        <f aca="true" t="shared" si="31" ref="G221:M221">G220/16216</f>
        <v>0.10298470646275283</v>
      </c>
      <c r="H221" s="7">
        <f t="shared" si="31"/>
        <v>0.007461766156882091</v>
      </c>
      <c r="I221" s="7">
        <f t="shared" si="31"/>
        <v>0.4381475086334484</v>
      </c>
      <c r="J221" s="7">
        <f t="shared" si="31"/>
        <v>0.4306857424765664</v>
      </c>
      <c r="K221" s="7">
        <f t="shared" si="31"/>
        <v>0.009003453379378391</v>
      </c>
      <c r="L221" s="7">
        <f t="shared" si="31"/>
        <v>0.0046867291563887515</v>
      </c>
      <c r="M221" s="7">
        <f t="shared" si="31"/>
        <v>0.007030093734583128</v>
      </c>
      <c r="N221" s="7">
        <f>N220/258</f>
        <v>1</v>
      </c>
      <c r="O221" s="7">
        <f>O220/103</f>
        <v>1</v>
      </c>
      <c r="P221" s="7">
        <v>1</v>
      </c>
      <c r="Q221" s="7">
        <f>Q220/133</f>
        <v>1</v>
      </c>
    </row>
    <row r="222" spans="2:17" ht="4.5" customHeight="1">
      <c r="B222" s="1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9">
      <c r="A223" s="5" t="s">
        <v>108</v>
      </c>
      <c r="B223" s="1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9">
      <c r="B224" s="9" t="s">
        <v>90</v>
      </c>
      <c r="C224" s="3">
        <v>1752</v>
      </c>
      <c r="D224" s="3">
        <v>45669</v>
      </c>
      <c r="E224" s="3">
        <v>2349</v>
      </c>
      <c r="F224" s="3">
        <v>1623</v>
      </c>
      <c r="G224" s="3">
        <v>881</v>
      </c>
      <c r="H224" s="3">
        <v>69</v>
      </c>
      <c r="I224" s="3">
        <v>6100</v>
      </c>
      <c r="J224" s="3">
        <v>3585</v>
      </c>
      <c r="K224" s="3">
        <v>102</v>
      </c>
      <c r="L224" s="3">
        <v>39</v>
      </c>
      <c r="M224" s="3">
        <v>66</v>
      </c>
      <c r="N224" s="3">
        <v>221</v>
      </c>
      <c r="O224" s="3">
        <v>381</v>
      </c>
      <c r="P224" s="3">
        <v>184</v>
      </c>
      <c r="Q224" s="3">
        <v>162</v>
      </c>
    </row>
    <row r="225" spans="1:17" ht="9">
      <c r="A225" s="4" t="s">
        <v>29</v>
      </c>
      <c r="C225" s="3">
        <v>1752</v>
      </c>
      <c r="D225" s="3">
        <v>45669</v>
      </c>
      <c r="E225" s="3">
        <v>2349</v>
      </c>
      <c r="F225" s="3">
        <v>1623</v>
      </c>
      <c r="G225" s="3">
        <v>881</v>
      </c>
      <c r="H225" s="3">
        <v>69</v>
      </c>
      <c r="I225" s="3">
        <v>6100</v>
      </c>
      <c r="J225" s="3">
        <v>3585</v>
      </c>
      <c r="K225" s="3">
        <v>102</v>
      </c>
      <c r="L225" s="3">
        <v>39</v>
      </c>
      <c r="M225" s="3">
        <v>66</v>
      </c>
      <c r="N225" s="3">
        <v>221</v>
      </c>
      <c r="O225" s="3">
        <v>381</v>
      </c>
      <c r="P225" s="3">
        <v>184</v>
      </c>
      <c r="Q225" s="3">
        <v>162</v>
      </c>
    </row>
    <row r="226" spans="2:17" s="6" customFormat="1" ht="9">
      <c r="B226" s="10" t="s">
        <v>133</v>
      </c>
      <c r="C226" s="7">
        <f>C225/51393</f>
        <v>0.03409024575331271</v>
      </c>
      <c r="D226" s="7">
        <f>D225/51393</f>
        <v>0.8886229642169167</v>
      </c>
      <c r="E226" s="7">
        <f>E225/51393</f>
        <v>0.04570661374117098</v>
      </c>
      <c r="F226" s="7">
        <f>F225/51393</f>
        <v>0.03158017628859962</v>
      </c>
      <c r="G226" s="7">
        <f aca="true" t="shared" si="32" ref="G226:M226">G225/10842</f>
        <v>0.08125807046670357</v>
      </c>
      <c r="H226" s="7">
        <f t="shared" si="32"/>
        <v>0.0063641394576646375</v>
      </c>
      <c r="I226" s="7">
        <f t="shared" si="32"/>
        <v>0.5626268216196274</v>
      </c>
      <c r="J226" s="7">
        <f t="shared" si="32"/>
        <v>0.33065855008301054</v>
      </c>
      <c r="K226" s="7">
        <f t="shared" si="32"/>
        <v>0.009407858328721638</v>
      </c>
      <c r="L226" s="7">
        <f t="shared" si="32"/>
        <v>0.0035971223021582736</v>
      </c>
      <c r="M226" s="7">
        <f t="shared" si="32"/>
        <v>0.006087437742114001</v>
      </c>
      <c r="N226" s="7">
        <f>N225/221</f>
        <v>1</v>
      </c>
      <c r="O226" s="7">
        <f>O225/381</f>
        <v>1</v>
      </c>
      <c r="P226" s="7">
        <v>1</v>
      </c>
      <c r="Q226" s="7">
        <f>Q225/162</f>
        <v>1</v>
      </c>
    </row>
    <row r="227" spans="2:17" ht="4.5" customHeight="1">
      <c r="B227" s="1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9">
      <c r="A228" s="5" t="s">
        <v>109</v>
      </c>
      <c r="B228" s="1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9">
      <c r="B229" s="9" t="s">
        <v>90</v>
      </c>
      <c r="C229" s="3">
        <v>1570</v>
      </c>
      <c r="D229" s="3">
        <v>22761</v>
      </c>
      <c r="E229" s="3">
        <v>2553</v>
      </c>
      <c r="F229" s="3">
        <v>910</v>
      </c>
      <c r="G229" s="3">
        <v>1050</v>
      </c>
      <c r="H229" s="3">
        <v>96</v>
      </c>
      <c r="I229" s="3">
        <v>4945</v>
      </c>
      <c r="J229" s="3">
        <v>4573</v>
      </c>
      <c r="K229" s="3">
        <v>133</v>
      </c>
      <c r="L229" s="3">
        <v>31</v>
      </c>
      <c r="M229" s="3">
        <v>85</v>
      </c>
      <c r="N229" s="3">
        <v>269</v>
      </c>
      <c r="O229" s="3">
        <v>74</v>
      </c>
      <c r="P229" s="3">
        <v>69</v>
      </c>
      <c r="Q229" s="3">
        <v>135</v>
      </c>
    </row>
    <row r="230" spans="1:17" ht="9">
      <c r="A230" s="4" t="s">
        <v>29</v>
      </c>
      <c r="C230" s="3">
        <v>1570</v>
      </c>
      <c r="D230" s="3">
        <v>22761</v>
      </c>
      <c r="E230" s="3">
        <v>2553</v>
      </c>
      <c r="F230" s="3">
        <v>910</v>
      </c>
      <c r="G230" s="3">
        <v>1050</v>
      </c>
      <c r="H230" s="3">
        <v>96</v>
      </c>
      <c r="I230" s="3">
        <v>4945</v>
      </c>
      <c r="J230" s="3">
        <v>4573</v>
      </c>
      <c r="K230" s="3">
        <v>133</v>
      </c>
      <c r="L230" s="3">
        <v>31</v>
      </c>
      <c r="M230" s="3">
        <v>85</v>
      </c>
      <c r="N230" s="3">
        <v>269</v>
      </c>
      <c r="O230" s="3">
        <v>74</v>
      </c>
      <c r="P230" s="3">
        <v>69</v>
      </c>
      <c r="Q230" s="3">
        <v>135</v>
      </c>
    </row>
    <row r="231" spans="2:17" s="6" customFormat="1" ht="9">
      <c r="B231" s="10" t="s">
        <v>133</v>
      </c>
      <c r="C231" s="7">
        <f>C230/27794</f>
        <v>0.056487011585234226</v>
      </c>
      <c r="D231" s="7">
        <f>D230/27794</f>
        <v>0.8189177520328128</v>
      </c>
      <c r="E231" s="7">
        <f>E230/27794</f>
        <v>0.0918543570554796</v>
      </c>
      <c r="F231" s="7">
        <f>F230/27794</f>
        <v>0.03274087932647334</v>
      </c>
      <c r="G231" s="7">
        <f aca="true" t="shared" si="33" ref="G231:M231">G230/10913</f>
        <v>0.09621552277100706</v>
      </c>
      <c r="H231" s="7">
        <f t="shared" si="33"/>
        <v>0.00879684779620636</v>
      </c>
      <c r="I231" s="7">
        <f t="shared" si="33"/>
        <v>0.453129295335838</v>
      </c>
      <c r="J231" s="7">
        <f t="shared" si="33"/>
        <v>0.41904151012553836</v>
      </c>
      <c r="K231" s="7">
        <f t="shared" si="33"/>
        <v>0.012187299550994226</v>
      </c>
      <c r="L231" s="7">
        <f t="shared" si="33"/>
        <v>0.00284064876752497</v>
      </c>
      <c r="M231" s="7">
        <f t="shared" si="33"/>
        <v>0.0077888756528910474</v>
      </c>
      <c r="N231" s="7">
        <f>N230/269</f>
        <v>1</v>
      </c>
      <c r="O231" s="7">
        <f>O230/74</f>
        <v>1</v>
      </c>
      <c r="P231" s="7">
        <v>1</v>
      </c>
      <c r="Q231" s="7">
        <f>Q230/135</f>
        <v>1</v>
      </c>
    </row>
    <row r="232" spans="2:17" ht="4.5" customHeight="1">
      <c r="B232" s="1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9">
      <c r="A233" s="5" t="s">
        <v>110</v>
      </c>
      <c r="B233" s="1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9">
      <c r="B234" s="9" t="s">
        <v>90</v>
      </c>
      <c r="C234" s="3">
        <v>1483</v>
      </c>
      <c r="D234" s="3">
        <v>34289</v>
      </c>
      <c r="E234" s="3">
        <v>1944</v>
      </c>
      <c r="F234" s="3">
        <v>1128</v>
      </c>
      <c r="G234" s="3">
        <v>982</v>
      </c>
      <c r="H234" s="3">
        <v>67</v>
      </c>
      <c r="I234" s="3">
        <v>4747</v>
      </c>
      <c r="J234" s="3">
        <v>3887</v>
      </c>
      <c r="K234" s="3">
        <v>71</v>
      </c>
      <c r="L234" s="3">
        <v>22</v>
      </c>
      <c r="M234" s="3">
        <v>96</v>
      </c>
      <c r="N234" s="3">
        <v>218</v>
      </c>
      <c r="O234" s="3">
        <v>81</v>
      </c>
      <c r="P234" s="3">
        <v>85</v>
      </c>
      <c r="Q234" s="3">
        <v>144</v>
      </c>
    </row>
    <row r="235" spans="1:17" ht="9">
      <c r="A235" s="4" t="s">
        <v>29</v>
      </c>
      <c r="C235" s="3">
        <v>1483</v>
      </c>
      <c r="D235" s="3">
        <v>34289</v>
      </c>
      <c r="E235" s="3">
        <v>1944</v>
      </c>
      <c r="F235" s="3">
        <v>1128</v>
      </c>
      <c r="G235" s="3">
        <v>982</v>
      </c>
      <c r="H235" s="3">
        <v>67</v>
      </c>
      <c r="I235" s="3">
        <v>4747</v>
      </c>
      <c r="J235" s="3">
        <v>3887</v>
      </c>
      <c r="K235" s="3">
        <v>71</v>
      </c>
      <c r="L235" s="3">
        <v>22</v>
      </c>
      <c r="M235" s="3">
        <v>96</v>
      </c>
      <c r="N235" s="3">
        <v>218</v>
      </c>
      <c r="O235" s="3">
        <v>81</v>
      </c>
      <c r="P235" s="3">
        <v>85</v>
      </c>
      <c r="Q235" s="3">
        <v>144</v>
      </c>
    </row>
    <row r="236" spans="2:17" s="6" customFormat="1" ht="9">
      <c r="B236" s="10" t="s">
        <v>133</v>
      </c>
      <c r="C236" s="7">
        <f>C235/38844</f>
        <v>0.038178354443414685</v>
      </c>
      <c r="D236" s="7">
        <f>D235/38844</f>
        <v>0.8827360724951087</v>
      </c>
      <c r="E236" s="7">
        <f>E235/38844</f>
        <v>0.05004633920296571</v>
      </c>
      <c r="F236" s="7">
        <f>F235/38844</f>
        <v>0.02903923385851097</v>
      </c>
      <c r="G236" s="7">
        <f aca="true" t="shared" si="34" ref="G236:M236">G235/9872</f>
        <v>0.09947325769854133</v>
      </c>
      <c r="H236" s="7">
        <f t="shared" si="34"/>
        <v>0.006786871961102107</v>
      </c>
      <c r="I236" s="7">
        <f t="shared" si="34"/>
        <v>0.480854943273906</v>
      </c>
      <c r="J236" s="7">
        <f t="shared" si="34"/>
        <v>0.39373987034035657</v>
      </c>
      <c r="K236" s="7">
        <f t="shared" si="34"/>
        <v>0.007192058346839546</v>
      </c>
      <c r="L236" s="7">
        <f t="shared" si="34"/>
        <v>0.002228525121555916</v>
      </c>
      <c r="M236" s="7">
        <f t="shared" si="34"/>
        <v>0.009724473257698542</v>
      </c>
      <c r="N236" s="7">
        <f>N235/218</f>
        <v>1</v>
      </c>
      <c r="O236" s="7">
        <f>O235/81</f>
        <v>1</v>
      </c>
      <c r="P236" s="7">
        <v>1</v>
      </c>
      <c r="Q236" s="7">
        <f>Q235/144</f>
        <v>1</v>
      </c>
    </row>
    <row r="237" spans="2:17" ht="4.5" customHeight="1">
      <c r="B237" s="1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9">
      <c r="A238" s="5" t="s">
        <v>111</v>
      </c>
      <c r="B238" s="1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9">
      <c r="B239" s="9" t="s">
        <v>90</v>
      </c>
      <c r="C239" s="3">
        <v>2276</v>
      </c>
      <c r="D239" s="3">
        <v>30017</v>
      </c>
      <c r="E239" s="3">
        <v>3288</v>
      </c>
      <c r="F239" s="3">
        <v>1846</v>
      </c>
      <c r="G239" s="3">
        <v>3004</v>
      </c>
      <c r="H239" s="3">
        <v>143</v>
      </c>
      <c r="I239" s="3">
        <v>18550</v>
      </c>
      <c r="J239" s="3">
        <v>16050</v>
      </c>
      <c r="K239" s="3">
        <v>239</v>
      </c>
      <c r="L239" s="3">
        <v>63</v>
      </c>
      <c r="M239" s="3">
        <v>178</v>
      </c>
      <c r="N239" s="3">
        <v>421</v>
      </c>
      <c r="O239" s="3">
        <v>517</v>
      </c>
      <c r="P239" s="3">
        <v>400</v>
      </c>
      <c r="Q239" s="3">
        <v>179</v>
      </c>
    </row>
    <row r="240" spans="1:17" ht="9">
      <c r="A240" s="4" t="s">
        <v>29</v>
      </c>
      <c r="C240" s="3">
        <v>2276</v>
      </c>
      <c r="D240" s="3">
        <v>30017</v>
      </c>
      <c r="E240" s="3">
        <v>3288</v>
      </c>
      <c r="F240" s="3">
        <v>1846</v>
      </c>
      <c r="G240" s="3">
        <v>3004</v>
      </c>
      <c r="H240" s="3">
        <v>143</v>
      </c>
      <c r="I240" s="3">
        <v>18550</v>
      </c>
      <c r="J240" s="3">
        <v>16050</v>
      </c>
      <c r="K240" s="3">
        <v>239</v>
      </c>
      <c r="L240" s="3">
        <v>63</v>
      </c>
      <c r="M240" s="3">
        <v>178</v>
      </c>
      <c r="N240" s="3">
        <v>421</v>
      </c>
      <c r="O240" s="3">
        <v>517</v>
      </c>
      <c r="P240" s="3">
        <v>400</v>
      </c>
      <c r="Q240" s="3">
        <v>179</v>
      </c>
    </row>
    <row r="241" spans="2:17" s="6" customFormat="1" ht="9">
      <c r="B241" s="10" t="s">
        <v>133</v>
      </c>
      <c r="C241" s="7">
        <f>C240/37427</f>
        <v>0.0608117134688861</v>
      </c>
      <c r="D241" s="7">
        <f>D240/37427</f>
        <v>0.8020145883987496</v>
      </c>
      <c r="E241" s="7">
        <f>E240/37427</f>
        <v>0.08785101664573704</v>
      </c>
      <c r="F241" s="7">
        <f>F240/37427</f>
        <v>0.0493226814866273</v>
      </c>
      <c r="G241" s="7">
        <f aca="true" t="shared" si="35" ref="G241:M241">G240/38227</f>
        <v>0.07858320035576949</v>
      </c>
      <c r="H241" s="7">
        <f t="shared" si="35"/>
        <v>0.0037408114683339</v>
      </c>
      <c r="I241" s="7">
        <f t="shared" si="35"/>
        <v>0.48525911005310385</v>
      </c>
      <c r="J241" s="7">
        <f t="shared" si="35"/>
        <v>0.41986030815915454</v>
      </c>
      <c r="K241" s="7">
        <f t="shared" si="35"/>
        <v>0.006252125461061553</v>
      </c>
      <c r="L241" s="7">
        <f t="shared" si="35"/>
        <v>0.0016480498077275224</v>
      </c>
      <c r="M241" s="7">
        <f t="shared" si="35"/>
        <v>0.004656394694849191</v>
      </c>
      <c r="N241" s="7">
        <f>N240/421</f>
        <v>1</v>
      </c>
      <c r="O241" s="7">
        <f>O240/517</f>
        <v>1</v>
      </c>
      <c r="P241" s="7">
        <v>1</v>
      </c>
      <c r="Q241" s="7">
        <f>Q240/179</f>
        <v>1</v>
      </c>
    </row>
    <row r="242" spans="2:17" ht="4.5" customHeight="1">
      <c r="B242" s="1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9">
      <c r="A243" s="5" t="s">
        <v>112</v>
      </c>
      <c r="B243" s="1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9">
      <c r="B244" s="9" t="s">
        <v>90</v>
      </c>
      <c r="C244" s="3">
        <v>1644</v>
      </c>
      <c r="D244" s="3">
        <v>28478</v>
      </c>
      <c r="E244" s="3">
        <v>2178</v>
      </c>
      <c r="F244" s="3">
        <v>1313</v>
      </c>
      <c r="G244" s="3">
        <v>1345</v>
      </c>
      <c r="H244" s="3">
        <v>79</v>
      </c>
      <c r="I244" s="3">
        <v>5584</v>
      </c>
      <c r="J244" s="3">
        <v>4919</v>
      </c>
      <c r="K244" s="3">
        <v>137</v>
      </c>
      <c r="L244" s="3">
        <v>54</v>
      </c>
      <c r="M244" s="3">
        <v>89</v>
      </c>
      <c r="N244" s="3">
        <v>290</v>
      </c>
      <c r="O244" s="3">
        <v>182</v>
      </c>
      <c r="P244" s="3">
        <v>159</v>
      </c>
      <c r="Q244" s="3">
        <v>143</v>
      </c>
    </row>
    <row r="245" spans="1:17" ht="9">
      <c r="A245" s="4" t="s">
        <v>29</v>
      </c>
      <c r="C245" s="3">
        <v>1644</v>
      </c>
      <c r="D245" s="3">
        <v>28478</v>
      </c>
      <c r="E245" s="3">
        <v>2178</v>
      </c>
      <c r="F245" s="3">
        <v>1313</v>
      </c>
      <c r="G245" s="3">
        <v>1345</v>
      </c>
      <c r="H245" s="3">
        <v>79</v>
      </c>
      <c r="I245" s="3">
        <v>5584</v>
      </c>
      <c r="J245" s="3">
        <v>4919</v>
      </c>
      <c r="K245" s="3">
        <v>137</v>
      </c>
      <c r="L245" s="3">
        <v>54</v>
      </c>
      <c r="M245" s="3">
        <v>89</v>
      </c>
      <c r="N245" s="3">
        <v>290</v>
      </c>
      <c r="O245" s="3">
        <v>182</v>
      </c>
      <c r="P245" s="3">
        <v>159</v>
      </c>
      <c r="Q245" s="3">
        <v>143</v>
      </c>
    </row>
    <row r="246" spans="2:17" s="6" customFormat="1" ht="9">
      <c r="B246" s="10" t="s">
        <v>133</v>
      </c>
      <c r="C246" s="7">
        <f>C245/33613</f>
        <v>0.0489096480528367</v>
      </c>
      <c r="D246" s="7">
        <f>D245/33613</f>
        <v>0.8472317258203671</v>
      </c>
      <c r="E246" s="7">
        <f>E245/33613</f>
        <v>0.06479635855175081</v>
      </c>
      <c r="F246" s="7">
        <f>F245/33613</f>
        <v>0.03906226757504537</v>
      </c>
      <c r="G246" s="7">
        <f aca="true" t="shared" si="36" ref="G246:M246">G245/12207</f>
        <v>0.1101826820676661</v>
      </c>
      <c r="H246" s="7">
        <f t="shared" si="36"/>
        <v>0.006471696567543213</v>
      </c>
      <c r="I246" s="7">
        <f t="shared" si="36"/>
        <v>0.45744245105267467</v>
      </c>
      <c r="J246" s="7">
        <f t="shared" si="36"/>
        <v>0.4029655115917097</v>
      </c>
      <c r="K246" s="7">
        <f t="shared" si="36"/>
        <v>0.011223068731055951</v>
      </c>
      <c r="L246" s="7">
        <f t="shared" si="36"/>
        <v>0.004423691324649791</v>
      </c>
      <c r="M246" s="7">
        <f t="shared" si="36"/>
        <v>0.0072908986647005816</v>
      </c>
      <c r="N246" s="7">
        <f>N245/290</f>
        <v>1</v>
      </c>
      <c r="O246" s="7">
        <f>O245/182</f>
        <v>1</v>
      </c>
      <c r="P246" s="7">
        <f>P245/159</f>
        <v>1</v>
      </c>
      <c r="Q246" s="7">
        <f>Q245/143</f>
        <v>1</v>
      </c>
    </row>
    <row r="247" spans="2:17" ht="4.5" customHeight="1">
      <c r="B247" s="1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9">
      <c r="A248" s="5" t="s">
        <v>113</v>
      </c>
      <c r="B248" s="1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9">
      <c r="B249" s="9" t="s">
        <v>90</v>
      </c>
      <c r="C249" s="3">
        <v>2663</v>
      </c>
      <c r="D249" s="3">
        <v>26861</v>
      </c>
      <c r="E249" s="3">
        <v>3410</v>
      </c>
      <c r="F249" s="3">
        <v>1075</v>
      </c>
      <c r="G249" s="3">
        <v>1435</v>
      </c>
      <c r="H249" s="3">
        <v>100</v>
      </c>
      <c r="I249" s="3">
        <v>6483</v>
      </c>
      <c r="J249" s="3">
        <v>5897</v>
      </c>
      <c r="K249" s="3">
        <v>163</v>
      </c>
      <c r="L249" s="3">
        <v>65</v>
      </c>
      <c r="M249" s="3">
        <v>127</v>
      </c>
      <c r="N249" s="3">
        <v>264</v>
      </c>
      <c r="O249" s="3">
        <v>92</v>
      </c>
      <c r="P249" s="3">
        <v>91</v>
      </c>
      <c r="Q249" s="3">
        <v>137</v>
      </c>
    </row>
    <row r="250" spans="1:17" ht="9">
      <c r="A250" s="4" t="s">
        <v>29</v>
      </c>
      <c r="C250" s="3">
        <v>2663</v>
      </c>
      <c r="D250" s="3">
        <v>26861</v>
      </c>
      <c r="E250" s="3">
        <v>3410</v>
      </c>
      <c r="F250" s="3">
        <v>1075</v>
      </c>
      <c r="G250" s="3">
        <v>1435</v>
      </c>
      <c r="H250" s="3">
        <v>100</v>
      </c>
      <c r="I250" s="3">
        <v>6483</v>
      </c>
      <c r="J250" s="3">
        <v>5897</v>
      </c>
      <c r="K250" s="3">
        <v>163</v>
      </c>
      <c r="L250" s="3">
        <v>65</v>
      </c>
      <c r="M250" s="3">
        <v>127</v>
      </c>
      <c r="N250" s="3">
        <v>264</v>
      </c>
      <c r="O250" s="3">
        <v>92</v>
      </c>
      <c r="P250" s="3">
        <v>91</v>
      </c>
      <c r="Q250" s="3">
        <v>137</v>
      </c>
    </row>
    <row r="251" spans="2:17" s="6" customFormat="1" ht="9">
      <c r="B251" s="10" t="s">
        <v>133</v>
      </c>
      <c r="C251" s="7">
        <f>C250/34009</f>
        <v>0.0783028021994178</v>
      </c>
      <c r="D251" s="7">
        <f>D250/34009</f>
        <v>0.7898203416742627</v>
      </c>
      <c r="E251" s="7">
        <f>E250/34009</f>
        <v>0.10026757622982152</v>
      </c>
      <c r="F251" s="7">
        <f>F250/34009</f>
        <v>0.031609279896497984</v>
      </c>
      <c r="G251" s="7">
        <f aca="true" t="shared" si="37" ref="G251:M251">G250/14270</f>
        <v>0.10056061667834618</v>
      </c>
      <c r="H251" s="7">
        <f t="shared" si="37"/>
        <v>0.00700770847932726</v>
      </c>
      <c r="I251" s="7">
        <f t="shared" si="37"/>
        <v>0.45430974071478625</v>
      </c>
      <c r="J251" s="7">
        <f t="shared" si="37"/>
        <v>0.41324456902592854</v>
      </c>
      <c r="K251" s="7">
        <f t="shared" si="37"/>
        <v>0.011422564821303435</v>
      </c>
      <c r="L251" s="7">
        <f t="shared" si="37"/>
        <v>0.004555010511562719</v>
      </c>
      <c r="M251" s="7">
        <f t="shared" si="37"/>
        <v>0.008899789768745621</v>
      </c>
      <c r="N251" s="7">
        <f>N250/264</f>
        <v>1</v>
      </c>
      <c r="O251" s="7">
        <f>O250/92</f>
        <v>1</v>
      </c>
      <c r="P251" s="7">
        <v>1</v>
      </c>
      <c r="Q251" s="7">
        <f>Q250/137</f>
        <v>1</v>
      </c>
    </row>
    <row r="252" spans="2:17" ht="4.5" customHeight="1">
      <c r="B252" s="1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9">
      <c r="A253" s="5" t="s">
        <v>114</v>
      </c>
      <c r="B253" s="1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9">
      <c r="B254" s="9" t="s">
        <v>90</v>
      </c>
      <c r="C254" s="3">
        <v>1999</v>
      </c>
      <c r="D254" s="3">
        <v>25608</v>
      </c>
      <c r="E254" s="3">
        <v>3141</v>
      </c>
      <c r="F254" s="3">
        <v>1328</v>
      </c>
      <c r="G254" s="3">
        <v>2237</v>
      </c>
      <c r="H254" s="3">
        <v>91</v>
      </c>
      <c r="I254" s="3">
        <v>8468</v>
      </c>
      <c r="J254" s="3">
        <v>9932</v>
      </c>
      <c r="K254" s="3">
        <v>207</v>
      </c>
      <c r="L254" s="3">
        <v>77</v>
      </c>
      <c r="M254" s="3">
        <v>102</v>
      </c>
      <c r="N254" s="3">
        <v>299</v>
      </c>
      <c r="O254" s="3">
        <v>94</v>
      </c>
      <c r="P254" s="3">
        <v>144</v>
      </c>
      <c r="Q254" s="3">
        <v>104</v>
      </c>
    </row>
    <row r="255" spans="1:17" ht="9">
      <c r="A255" s="4" t="s">
        <v>29</v>
      </c>
      <c r="C255" s="3">
        <v>1999</v>
      </c>
      <c r="D255" s="3">
        <v>25608</v>
      </c>
      <c r="E255" s="3">
        <v>3141</v>
      </c>
      <c r="F255" s="3">
        <v>1328</v>
      </c>
      <c r="G255" s="3">
        <v>2237</v>
      </c>
      <c r="H255" s="3">
        <v>91</v>
      </c>
      <c r="I255" s="3">
        <v>8468</v>
      </c>
      <c r="J255" s="3">
        <v>9932</v>
      </c>
      <c r="K255" s="3">
        <v>207</v>
      </c>
      <c r="L255" s="3">
        <v>77</v>
      </c>
      <c r="M255" s="3">
        <v>102</v>
      </c>
      <c r="N255" s="3">
        <v>299</v>
      </c>
      <c r="O255" s="3">
        <v>94</v>
      </c>
      <c r="P255" s="3">
        <v>144</v>
      </c>
      <c r="Q255" s="3">
        <v>104</v>
      </c>
    </row>
    <row r="256" spans="2:17" s="6" customFormat="1" ht="9">
      <c r="B256" s="10" t="s">
        <v>133</v>
      </c>
      <c r="C256" s="7">
        <f>C255/32076</f>
        <v>0.062320738246664176</v>
      </c>
      <c r="D256" s="7">
        <f>D255/32076</f>
        <v>0.7983539094650206</v>
      </c>
      <c r="E256" s="7">
        <f>E255/32076</f>
        <v>0.09792368125701459</v>
      </c>
      <c r="F256" s="7">
        <f>F255/32076</f>
        <v>0.04140167103130066</v>
      </c>
      <c r="G256" s="7">
        <f aca="true" t="shared" si="38" ref="G256:M256">G255/21114</f>
        <v>0.10594865965709956</v>
      </c>
      <c r="H256" s="7">
        <f t="shared" si="38"/>
        <v>0.004309936535000474</v>
      </c>
      <c r="I256" s="7">
        <f t="shared" si="38"/>
        <v>0.40106090745476936</v>
      </c>
      <c r="J256" s="7">
        <f t="shared" si="38"/>
        <v>0.4703987875343374</v>
      </c>
      <c r="K256" s="7">
        <f t="shared" si="38"/>
        <v>0.00980392156862745</v>
      </c>
      <c r="L256" s="7">
        <f t="shared" si="38"/>
        <v>0.0036468693757696316</v>
      </c>
      <c r="M256" s="7">
        <f t="shared" si="38"/>
        <v>0.004830917874396135</v>
      </c>
      <c r="N256" s="7">
        <f>N255/299</f>
        <v>1</v>
      </c>
      <c r="O256" s="7">
        <f>O255/94</f>
        <v>1</v>
      </c>
      <c r="P256" s="7">
        <f>P255/144</f>
        <v>1</v>
      </c>
      <c r="Q256" s="7">
        <f>Q255/104</f>
        <v>1</v>
      </c>
    </row>
    <row r="257" spans="2:17" ht="4.5" customHeight="1">
      <c r="B257" s="1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9">
      <c r="A258" s="5" t="s">
        <v>116</v>
      </c>
      <c r="B258" s="1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9">
      <c r="B259" s="9" t="s">
        <v>115</v>
      </c>
      <c r="C259" s="3">
        <v>2723</v>
      </c>
      <c r="D259" s="3">
        <v>24765</v>
      </c>
      <c r="E259" s="3">
        <v>2928</v>
      </c>
      <c r="F259" s="3">
        <v>1841</v>
      </c>
      <c r="G259" s="3">
        <v>5989</v>
      </c>
      <c r="H259" s="3">
        <v>297</v>
      </c>
      <c r="I259" s="3">
        <v>20938</v>
      </c>
      <c r="J259" s="3">
        <v>31807</v>
      </c>
      <c r="K259" s="3">
        <v>521</v>
      </c>
      <c r="L259" s="3">
        <v>111</v>
      </c>
      <c r="M259" s="3">
        <v>329</v>
      </c>
      <c r="N259" s="3">
        <v>469</v>
      </c>
      <c r="O259" s="3">
        <v>241</v>
      </c>
      <c r="P259" s="3">
        <v>457</v>
      </c>
      <c r="Q259" s="3">
        <v>50</v>
      </c>
    </row>
    <row r="260" spans="1:17" ht="9">
      <c r="A260" s="4" t="s">
        <v>29</v>
      </c>
      <c r="C260" s="3">
        <v>2723</v>
      </c>
      <c r="D260" s="3">
        <v>24765</v>
      </c>
      <c r="E260" s="3">
        <v>2928</v>
      </c>
      <c r="F260" s="3">
        <v>1841</v>
      </c>
      <c r="G260" s="3">
        <v>5989</v>
      </c>
      <c r="H260" s="3">
        <v>297</v>
      </c>
      <c r="I260" s="3">
        <v>20938</v>
      </c>
      <c r="J260" s="3">
        <v>31807</v>
      </c>
      <c r="K260" s="3">
        <v>521</v>
      </c>
      <c r="L260" s="3">
        <v>111</v>
      </c>
      <c r="M260" s="3">
        <v>329</v>
      </c>
      <c r="N260" s="3">
        <v>469</v>
      </c>
      <c r="O260" s="3">
        <v>241</v>
      </c>
      <c r="P260" s="3">
        <v>457</v>
      </c>
      <c r="Q260" s="3">
        <v>50</v>
      </c>
    </row>
    <row r="261" spans="2:17" s="6" customFormat="1" ht="9">
      <c r="B261" s="10" t="s">
        <v>133</v>
      </c>
      <c r="C261" s="7">
        <f>C260/32257</f>
        <v>0.0844157857209288</v>
      </c>
      <c r="D261" s="7">
        <f>D260/32257</f>
        <v>0.7677403354310692</v>
      </c>
      <c r="E261" s="7">
        <f>E260/32257</f>
        <v>0.09077099544284961</v>
      </c>
      <c r="F261" s="7">
        <f>F260/32257</f>
        <v>0.05707288340515237</v>
      </c>
      <c r="G261" s="7">
        <f aca="true" t="shared" si="39" ref="G261:M261">G260/59992</f>
        <v>0.09982997733031071</v>
      </c>
      <c r="H261" s="7">
        <f t="shared" si="39"/>
        <v>0.004950660088011735</v>
      </c>
      <c r="I261" s="7">
        <f t="shared" si="39"/>
        <v>0.3490132017602347</v>
      </c>
      <c r="J261" s="7">
        <f t="shared" si="39"/>
        <v>0.530187358314442</v>
      </c>
      <c r="K261" s="7">
        <f t="shared" si="39"/>
        <v>0.008684491265502067</v>
      </c>
      <c r="L261" s="7">
        <f t="shared" si="39"/>
        <v>0.0018502466995599413</v>
      </c>
      <c r="M261" s="7">
        <f t="shared" si="39"/>
        <v>0.0054840645419389255</v>
      </c>
      <c r="N261" s="7">
        <f>N260/469</f>
        <v>1</v>
      </c>
      <c r="O261" s="7">
        <f>O260/241</f>
        <v>1</v>
      </c>
      <c r="P261" s="7">
        <v>1</v>
      </c>
      <c r="Q261" s="7">
        <f>Q260/50</f>
        <v>1</v>
      </c>
    </row>
    <row r="262" spans="2:17" ht="4.5" customHeight="1">
      <c r="B262" s="1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9">
      <c r="A263" s="5" t="s">
        <v>118</v>
      </c>
      <c r="B263" s="1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9">
      <c r="B264" s="9" t="s">
        <v>117</v>
      </c>
      <c r="C264" s="3">
        <v>379</v>
      </c>
      <c r="D264" s="3">
        <v>5409</v>
      </c>
      <c r="E264" s="3">
        <v>479</v>
      </c>
      <c r="F264" s="3">
        <v>226</v>
      </c>
      <c r="G264" s="3">
        <v>1278</v>
      </c>
      <c r="H264" s="3">
        <v>80</v>
      </c>
      <c r="I264" s="3">
        <v>3488</v>
      </c>
      <c r="J264" s="3">
        <v>4952</v>
      </c>
      <c r="K264" s="3">
        <v>93</v>
      </c>
      <c r="L264" s="3">
        <v>13</v>
      </c>
      <c r="M264" s="3">
        <v>87</v>
      </c>
      <c r="N264" s="3">
        <v>129</v>
      </c>
      <c r="O264" s="3">
        <v>21</v>
      </c>
      <c r="P264" s="3">
        <v>48</v>
      </c>
      <c r="Q264" s="3">
        <v>3</v>
      </c>
    </row>
    <row r="265" spans="2:17" ht="9">
      <c r="B265" s="9" t="s">
        <v>99</v>
      </c>
      <c r="C265" s="3">
        <v>2314</v>
      </c>
      <c r="D265" s="3">
        <v>17805</v>
      </c>
      <c r="E265" s="3">
        <v>1855</v>
      </c>
      <c r="F265" s="3">
        <v>1410</v>
      </c>
      <c r="G265" s="3">
        <v>4044</v>
      </c>
      <c r="H265" s="3">
        <v>230</v>
      </c>
      <c r="I265" s="3">
        <v>15801</v>
      </c>
      <c r="J265" s="3">
        <v>20674</v>
      </c>
      <c r="K265" s="3">
        <v>462</v>
      </c>
      <c r="L265" s="3">
        <v>110</v>
      </c>
      <c r="M265" s="3">
        <v>360</v>
      </c>
      <c r="N265" s="3">
        <v>460</v>
      </c>
      <c r="O265" s="3">
        <v>190</v>
      </c>
      <c r="P265" s="3">
        <v>295</v>
      </c>
      <c r="Q265" s="3">
        <v>22</v>
      </c>
    </row>
    <row r="266" spans="1:17" ht="9">
      <c r="A266" s="4" t="s">
        <v>29</v>
      </c>
      <c r="C266" s="3">
        <v>2693</v>
      </c>
      <c r="D266" s="3">
        <v>23214</v>
      </c>
      <c r="E266" s="3">
        <v>2334</v>
      </c>
      <c r="F266" s="3">
        <v>1636</v>
      </c>
      <c r="G266" s="3">
        <v>5322</v>
      </c>
      <c r="H266" s="3">
        <v>310</v>
      </c>
      <c r="I266" s="3">
        <v>19289</v>
      </c>
      <c r="J266" s="3">
        <v>25626</v>
      </c>
      <c r="K266" s="3">
        <v>555</v>
      </c>
      <c r="L266" s="3">
        <v>123</v>
      </c>
      <c r="M266" s="3">
        <v>447</v>
      </c>
      <c r="N266" s="3">
        <v>589</v>
      </c>
      <c r="O266" s="3">
        <v>211</v>
      </c>
      <c r="P266" s="3">
        <v>343</v>
      </c>
      <c r="Q266" s="3">
        <v>25</v>
      </c>
    </row>
    <row r="267" spans="2:17" s="6" customFormat="1" ht="9">
      <c r="B267" s="10" t="s">
        <v>133</v>
      </c>
      <c r="C267" s="7">
        <f>C266/29877</f>
        <v>0.09013622518994545</v>
      </c>
      <c r="D267" s="7">
        <f>D266/29877</f>
        <v>0.7769856411286273</v>
      </c>
      <c r="E267" s="7">
        <f>E266/29877</f>
        <v>0.07812029320212872</v>
      </c>
      <c r="F267" s="7">
        <f>F266/29877</f>
        <v>0.05475784047929846</v>
      </c>
      <c r="G267" s="7">
        <f aca="true" t="shared" si="40" ref="G267:M267">G266/51672</f>
        <v>0.10299581978634463</v>
      </c>
      <c r="H267" s="7">
        <f t="shared" si="40"/>
        <v>0.005999380709088094</v>
      </c>
      <c r="I267" s="7">
        <f t="shared" si="40"/>
        <v>0.3732969499922589</v>
      </c>
      <c r="J267" s="7">
        <f t="shared" si="40"/>
        <v>0.4959359033906177</v>
      </c>
      <c r="K267" s="7">
        <f t="shared" si="40"/>
        <v>0.010740826753367395</v>
      </c>
      <c r="L267" s="7">
        <f t="shared" si="40"/>
        <v>0.002380399442638179</v>
      </c>
      <c r="M267" s="7">
        <f t="shared" si="40"/>
        <v>0.00865071992568509</v>
      </c>
      <c r="N267" s="7">
        <f>N266/589</f>
        <v>1</v>
      </c>
      <c r="O267" s="7">
        <f>O266/211</f>
        <v>1</v>
      </c>
      <c r="P267" s="7">
        <v>1</v>
      </c>
      <c r="Q267" s="7">
        <f>Q266/25</f>
        <v>1</v>
      </c>
    </row>
    <row r="268" spans="2:17" ht="4.5" customHeight="1">
      <c r="B268" s="1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9">
      <c r="A269" s="5" t="s">
        <v>119</v>
      </c>
      <c r="B269" s="1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9">
      <c r="B270" s="9" t="s">
        <v>90</v>
      </c>
      <c r="C270" s="3">
        <v>431</v>
      </c>
      <c r="D270" s="3">
        <v>4387</v>
      </c>
      <c r="E270" s="3">
        <v>536</v>
      </c>
      <c r="F270" s="3">
        <v>277</v>
      </c>
      <c r="G270" s="3">
        <v>915</v>
      </c>
      <c r="H270" s="3">
        <v>34</v>
      </c>
      <c r="I270" s="3">
        <v>4427</v>
      </c>
      <c r="J270" s="3">
        <v>4501</v>
      </c>
      <c r="K270" s="3">
        <v>56</v>
      </c>
      <c r="L270" s="3">
        <v>14</v>
      </c>
      <c r="M270" s="3">
        <v>41</v>
      </c>
      <c r="N270" s="3">
        <v>57</v>
      </c>
      <c r="O270" s="3">
        <v>28</v>
      </c>
      <c r="P270" s="3">
        <v>31</v>
      </c>
      <c r="Q270" s="3">
        <v>19</v>
      </c>
    </row>
    <row r="271" spans="2:17" ht="9">
      <c r="B271" s="9" t="s">
        <v>115</v>
      </c>
      <c r="C271" s="3">
        <v>1802</v>
      </c>
      <c r="D271" s="3">
        <v>15405</v>
      </c>
      <c r="E271" s="3">
        <v>2061</v>
      </c>
      <c r="F271" s="3">
        <v>1141</v>
      </c>
      <c r="G271" s="3">
        <v>4974</v>
      </c>
      <c r="H271" s="3">
        <v>237</v>
      </c>
      <c r="I271" s="3">
        <v>19300</v>
      </c>
      <c r="J271" s="3">
        <v>27545</v>
      </c>
      <c r="K271" s="3">
        <v>364</v>
      </c>
      <c r="L271" s="3">
        <v>79</v>
      </c>
      <c r="M271" s="3">
        <v>264</v>
      </c>
      <c r="N271" s="3">
        <v>383</v>
      </c>
      <c r="O271" s="3">
        <v>163</v>
      </c>
      <c r="P271" s="3">
        <v>304</v>
      </c>
      <c r="Q271" s="3">
        <v>33</v>
      </c>
    </row>
    <row r="272" spans="2:17" ht="9">
      <c r="B272" s="9" t="s">
        <v>99</v>
      </c>
      <c r="C272" s="3">
        <v>367</v>
      </c>
      <c r="D272" s="3">
        <v>4157</v>
      </c>
      <c r="E272" s="3">
        <v>539</v>
      </c>
      <c r="F272" s="3">
        <v>222</v>
      </c>
      <c r="G272" s="3">
        <v>779</v>
      </c>
      <c r="H272" s="3">
        <v>43</v>
      </c>
      <c r="I272" s="3">
        <v>3383</v>
      </c>
      <c r="J272" s="3">
        <v>4047</v>
      </c>
      <c r="K272" s="3">
        <v>60</v>
      </c>
      <c r="L272" s="3">
        <v>14</v>
      </c>
      <c r="M272" s="3">
        <v>38</v>
      </c>
      <c r="N272" s="3">
        <v>77</v>
      </c>
      <c r="O272" s="3">
        <v>24</v>
      </c>
      <c r="P272" s="3">
        <v>39</v>
      </c>
      <c r="Q272" s="3">
        <v>10</v>
      </c>
    </row>
    <row r="273" spans="1:17" ht="9">
      <c r="A273" s="4" t="s">
        <v>29</v>
      </c>
      <c r="C273" s="3">
        <v>2600</v>
      </c>
      <c r="D273" s="3">
        <v>23949</v>
      </c>
      <c r="E273" s="3">
        <v>3136</v>
      </c>
      <c r="F273" s="3">
        <v>1640</v>
      </c>
      <c r="G273" s="3">
        <v>6668</v>
      </c>
      <c r="H273" s="3">
        <v>314</v>
      </c>
      <c r="I273" s="3">
        <v>27110</v>
      </c>
      <c r="J273" s="3">
        <v>36093</v>
      </c>
      <c r="K273" s="3">
        <v>480</v>
      </c>
      <c r="L273" s="3">
        <v>107</v>
      </c>
      <c r="M273" s="3">
        <v>343</v>
      </c>
      <c r="N273" s="3">
        <v>517</v>
      </c>
      <c r="O273" s="3">
        <v>215</v>
      </c>
      <c r="P273" s="3">
        <v>374</v>
      </c>
      <c r="Q273" s="3">
        <v>62</v>
      </c>
    </row>
    <row r="274" spans="2:17" s="6" customFormat="1" ht="9">
      <c r="B274" s="10" t="s">
        <v>133</v>
      </c>
      <c r="C274" s="7">
        <f>C273/31325</f>
        <v>0.08300079808459697</v>
      </c>
      <c r="D274" s="7">
        <f>D273/31325</f>
        <v>0.7645331205107742</v>
      </c>
      <c r="E274" s="7">
        <f>E273/31325</f>
        <v>0.10011173184357541</v>
      </c>
      <c r="F274" s="7">
        <f>F273/31325</f>
        <v>0.05235434956105347</v>
      </c>
      <c r="G274" s="7">
        <f aca="true" t="shared" si="41" ref="G274:M274">G273/71115</f>
        <v>0.09376362230190537</v>
      </c>
      <c r="H274" s="7">
        <f t="shared" si="41"/>
        <v>0.004415383533713</v>
      </c>
      <c r="I274" s="7">
        <f t="shared" si="41"/>
        <v>0.38121352738522113</v>
      </c>
      <c r="J274" s="7">
        <f t="shared" si="41"/>
        <v>0.5075300569500105</v>
      </c>
      <c r="K274" s="7">
        <f t="shared" si="41"/>
        <v>0.006749630879561274</v>
      </c>
      <c r="L274" s="7">
        <f t="shared" si="41"/>
        <v>0.0015046052169022006</v>
      </c>
      <c r="M274" s="7">
        <f t="shared" si="41"/>
        <v>0.004823173732686494</v>
      </c>
      <c r="N274" s="7">
        <f>N273/517</f>
        <v>1</v>
      </c>
      <c r="O274" s="7">
        <f>O273/215</f>
        <v>1</v>
      </c>
      <c r="P274" s="7">
        <v>1</v>
      </c>
      <c r="Q274" s="7">
        <f>Q273/62</f>
        <v>1</v>
      </c>
    </row>
    <row r="275" spans="2:17" ht="4.5" customHeight="1">
      <c r="B275" s="1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9">
      <c r="A276" s="5" t="s">
        <v>120</v>
      </c>
      <c r="B276" s="1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9">
      <c r="B277" s="9" t="s">
        <v>99</v>
      </c>
      <c r="C277" s="3">
        <v>1382</v>
      </c>
      <c r="D277" s="3">
        <v>17275</v>
      </c>
      <c r="E277" s="3">
        <v>1620</v>
      </c>
      <c r="F277" s="3">
        <v>993</v>
      </c>
      <c r="G277" s="3">
        <v>1645</v>
      </c>
      <c r="H277" s="3">
        <v>106</v>
      </c>
      <c r="I277" s="3">
        <v>5197</v>
      </c>
      <c r="J277" s="3">
        <v>6693</v>
      </c>
      <c r="K277" s="3">
        <v>252</v>
      </c>
      <c r="L277" s="3">
        <v>58</v>
      </c>
      <c r="M277" s="3">
        <v>137</v>
      </c>
      <c r="N277" s="3">
        <v>249</v>
      </c>
      <c r="O277" s="3">
        <v>82</v>
      </c>
      <c r="P277" s="3">
        <v>94</v>
      </c>
      <c r="Q277" s="3">
        <v>9</v>
      </c>
    </row>
    <row r="278" spans="1:17" ht="9">
      <c r="A278" s="4" t="s">
        <v>29</v>
      </c>
      <c r="C278" s="3">
        <v>1382</v>
      </c>
      <c r="D278" s="3">
        <v>17275</v>
      </c>
      <c r="E278" s="3">
        <v>1620</v>
      </c>
      <c r="F278" s="3">
        <v>993</v>
      </c>
      <c r="G278" s="3">
        <v>1645</v>
      </c>
      <c r="H278" s="3">
        <v>106</v>
      </c>
      <c r="I278" s="3">
        <v>5197</v>
      </c>
      <c r="J278" s="3">
        <v>6693</v>
      </c>
      <c r="K278" s="3">
        <v>252</v>
      </c>
      <c r="L278" s="3">
        <v>58</v>
      </c>
      <c r="M278" s="3">
        <v>137</v>
      </c>
      <c r="N278" s="3">
        <v>249</v>
      </c>
      <c r="O278" s="3">
        <v>82</v>
      </c>
      <c r="P278" s="3">
        <v>94</v>
      </c>
      <c r="Q278" s="3">
        <v>9</v>
      </c>
    </row>
    <row r="279" spans="2:17" s="6" customFormat="1" ht="9">
      <c r="B279" s="10" t="s">
        <v>133</v>
      </c>
      <c r="C279" s="7">
        <f>C278/21270</f>
        <v>0.06497414198401505</v>
      </c>
      <c r="D279" s="7">
        <f>D278/21270</f>
        <v>0.812176774800188</v>
      </c>
      <c r="E279" s="7">
        <f>E278/21270</f>
        <v>0.076163610719323</v>
      </c>
      <c r="F279" s="7">
        <f>F278/21270</f>
        <v>0.04668547249647391</v>
      </c>
      <c r="G279" s="7">
        <f aca="true" t="shared" si="42" ref="G279:M279">G278/14088</f>
        <v>0.11676604202157864</v>
      </c>
      <c r="H279" s="7">
        <f t="shared" si="42"/>
        <v>0.007524134014764338</v>
      </c>
      <c r="I279" s="7">
        <f t="shared" si="42"/>
        <v>0.3688955139125497</v>
      </c>
      <c r="J279" s="7">
        <f t="shared" si="42"/>
        <v>0.47508517887563884</v>
      </c>
      <c r="K279" s="7">
        <f t="shared" si="42"/>
        <v>0.01788756388415673</v>
      </c>
      <c r="L279" s="7">
        <f t="shared" si="42"/>
        <v>0.0041169789892106755</v>
      </c>
      <c r="M279" s="7">
        <f t="shared" si="42"/>
        <v>0.00972458830210108</v>
      </c>
      <c r="N279" s="7">
        <f>N278/249</f>
        <v>1</v>
      </c>
      <c r="O279" s="7">
        <f>O278/82</f>
        <v>1</v>
      </c>
      <c r="P279" s="7">
        <v>1</v>
      </c>
      <c r="Q279" s="7">
        <f>Q278/9</f>
        <v>1</v>
      </c>
    </row>
    <row r="280" spans="2:17" ht="4.5" customHeight="1">
      <c r="B280" s="1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9">
      <c r="A281" s="5" t="s">
        <v>121</v>
      </c>
      <c r="B281" s="1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9">
      <c r="B282" s="9" t="s">
        <v>115</v>
      </c>
      <c r="C282" s="3">
        <v>355</v>
      </c>
      <c r="D282" s="3">
        <v>3540</v>
      </c>
      <c r="E282" s="3">
        <v>506</v>
      </c>
      <c r="F282" s="3">
        <v>304</v>
      </c>
      <c r="G282" s="3">
        <v>1295</v>
      </c>
      <c r="H282" s="3">
        <v>50</v>
      </c>
      <c r="I282" s="3">
        <v>6218</v>
      </c>
      <c r="J282" s="3">
        <v>7757</v>
      </c>
      <c r="K282" s="3">
        <v>93</v>
      </c>
      <c r="L282" s="3">
        <v>17</v>
      </c>
      <c r="M282" s="3">
        <v>64</v>
      </c>
      <c r="N282" s="3">
        <v>107</v>
      </c>
      <c r="O282" s="3">
        <v>67</v>
      </c>
      <c r="P282" s="3">
        <v>105</v>
      </c>
      <c r="Q282" s="3">
        <v>12</v>
      </c>
    </row>
    <row r="283" spans="2:17" ht="9">
      <c r="B283" s="9" t="s">
        <v>117</v>
      </c>
      <c r="C283" s="3">
        <v>1377</v>
      </c>
      <c r="D283" s="3">
        <v>17060</v>
      </c>
      <c r="E283" s="3">
        <v>1690</v>
      </c>
      <c r="F283" s="3">
        <v>896</v>
      </c>
      <c r="G283" s="3">
        <v>3402</v>
      </c>
      <c r="H283" s="3">
        <v>233</v>
      </c>
      <c r="I283" s="3">
        <v>12433</v>
      </c>
      <c r="J283" s="3">
        <v>14662</v>
      </c>
      <c r="K283" s="3">
        <v>453</v>
      </c>
      <c r="L283" s="3">
        <v>66</v>
      </c>
      <c r="M283" s="3">
        <v>183</v>
      </c>
      <c r="N283" s="3">
        <v>348</v>
      </c>
      <c r="O283" s="3">
        <v>161</v>
      </c>
      <c r="P283" s="3">
        <v>200</v>
      </c>
      <c r="Q283" s="3">
        <v>29</v>
      </c>
    </row>
    <row r="284" spans="1:17" ht="9">
      <c r="A284" s="4" t="s">
        <v>29</v>
      </c>
      <c r="C284" s="3">
        <v>1732</v>
      </c>
      <c r="D284" s="3">
        <v>20600</v>
      </c>
      <c r="E284" s="3">
        <v>2196</v>
      </c>
      <c r="F284" s="3">
        <v>1200</v>
      </c>
      <c r="G284" s="3">
        <v>4697</v>
      </c>
      <c r="H284" s="3">
        <v>283</v>
      </c>
      <c r="I284" s="3">
        <v>18651</v>
      </c>
      <c r="J284" s="3">
        <v>22419</v>
      </c>
      <c r="K284" s="3">
        <v>546</v>
      </c>
      <c r="L284" s="3">
        <v>83</v>
      </c>
      <c r="M284" s="3">
        <v>247</v>
      </c>
      <c r="N284" s="3">
        <v>455</v>
      </c>
      <c r="O284" s="3">
        <v>228</v>
      </c>
      <c r="P284" s="3">
        <v>305</v>
      </c>
      <c r="Q284" s="3">
        <v>41</v>
      </c>
    </row>
    <row r="285" spans="2:17" s="6" customFormat="1" ht="9">
      <c r="B285" s="10" t="s">
        <v>133</v>
      </c>
      <c r="C285" s="7">
        <f>C284/25728</f>
        <v>0.06731965174129353</v>
      </c>
      <c r="D285" s="7">
        <f>D284/25728</f>
        <v>0.8006840796019901</v>
      </c>
      <c r="E285" s="7">
        <f>E284/25728</f>
        <v>0.0853544776119403</v>
      </c>
      <c r="F285" s="7">
        <f>F284/25728</f>
        <v>0.04664179104477612</v>
      </c>
      <c r="G285" s="7">
        <f aca="true" t="shared" si="43" ref="G285:M285">G284/46926</f>
        <v>0.10009376465072668</v>
      </c>
      <c r="H285" s="7">
        <f t="shared" si="43"/>
        <v>0.006030771853556664</v>
      </c>
      <c r="I285" s="7">
        <f t="shared" si="43"/>
        <v>0.3974555683416443</v>
      </c>
      <c r="J285" s="7">
        <f t="shared" si="43"/>
        <v>0.47775220560030685</v>
      </c>
      <c r="K285" s="7">
        <f t="shared" si="43"/>
        <v>0.0116353407492648</v>
      </c>
      <c r="L285" s="7">
        <f t="shared" si="43"/>
        <v>0.001768742275071389</v>
      </c>
      <c r="M285" s="7">
        <f t="shared" si="43"/>
        <v>0.005263606529429314</v>
      </c>
      <c r="N285" s="7">
        <f>N284/455</f>
        <v>1</v>
      </c>
      <c r="O285" s="7">
        <f>O284/228</f>
        <v>1</v>
      </c>
      <c r="P285" s="7">
        <v>1</v>
      </c>
      <c r="Q285" s="7">
        <f>Q284/41</f>
        <v>1</v>
      </c>
    </row>
    <row r="286" spans="2:17" ht="4.5" customHeight="1">
      <c r="B286" s="1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9">
      <c r="A287" s="5" t="s">
        <v>122</v>
      </c>
      <c r="B287" s="1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9">
      <c r="B288" s="9" t="s">
        <v>117</v>
      </c>
      <c r="C288" s="3">
        <v>1463</v>
      </c>
      <c r="D288" s="3">
        <v>24687</v>
      </c>
      <c r="E288" s="3">
        <v>2275</v>
      </c>
      <c r="F288" s="3">
        <v>1033</v>
      </c>
      <c r="G288" s="3">
        <v>4749</v>
      </c>
      <c r="H288" s="3">
        <v>283</v>
      </c>
      <c r="I288" s="3">
        <v>19091</v>
      </c>
      <c r="J288" s="3">
        <v>21919</v>
      </c>
      <c r="K288" s="3">
        <v>335</v>
      </c>
      <c r="L288" s="3">
        <v>76</v>
      </c>
      <c r="M288" s="3">
        <v>303</v>
      </c>
      <c r="N288" s="3">
        <v>417</v>
      </c>
      <c r="O288" s="3">
        <v>155</v>
      </c>
      <c r="P288" s="3">
        <v>201</v>
      </c>
      <c r="Q288" s="3">
        <v>28</v>
      </c>
    </row>
    <row r="289" spans="1:17" ht="9">
      <c r="A289" s="4" t="s">
        <v>29</v>
      </c>
      <c r="C289" s="3">
        <v>1463</v>
      </c>
      <c r="D289" s="3">
        <v>24687</v>
      </c>
      <c r="E289" s="3">
        <v>2275</v>
      </c>
      <c r="F289" s="3">
        <v>1033</v>
      </c>
      <c r="G289" s="3">
        <v>4749</v>
      </c>
      <c r="H289" s="3">
        <v>283</v>
      </c>
      <c r="I289" s="3">
        <v>19091</v>
      </c>
      <c r="J289" s="3">
        <v>21919</v>
      </c>
      <c r="K289" s="3">
        <v>335</v>
      </c>
      <c r="L289" s="3">
        <v>76</v>
      </c>
      <c r="M289" s="3">
        <v>303</v>
      </c>
      <c r="N289" s="3">
        <v>417</v>
      </c>
      <c r="O289" s="3">
        <v>155</v>
      </c>
      <c r="P289" s="3">
        <v>201</v>
      </c>
      <c r="Q289" s="3">
        <v>28</v>
      </c>
    </row>
    <row r="290" spans="2:17" s="6" customFormat="1" ht="9">
      <c r="B290" s="10" t="s">
        <v>133</v>
      </c>
      <c r="C290" s="7">
        <f>C289/29458</f>
        <v>0.049663928304705</v>
      </c>
      <c r="D290" s="7">
        <f>D289/29458</f>
        <v>0.8380406001765225</v>
      </c>
      <c r="E290" s="7">
        <f>E289/29458</f>
        <v>0.07722859664607237</v>
      </c>
      <c r="F290" s="7">
        <f>F289/29458</f>
        <v>0.03506687487270012</v>
      </c>
      <c r="G290" s="7">
        <f aca="true" t="shared" si="44" ref="G290:M290">G289/46756</f>
        <v>0.10156985199760458</v>
      </c>
      <c r="H290" s="7">
        <f t="shared" si="44"/>
        <v>0.006052699118829669</v>
      </c>
      <c r="I290" s="7">
        <f t="shared" si="44"/>
        <v>0.40831123278295833</v>
      </c>
      <c r="J290" s="7">
        <f t="shared" si="44"/>
        <v>0.4687954487124647</v>
      </c>
      <c r="K290" s="7">
        <f t="shared" si="44"/>
        <v>0.0071648558473778766</v>
      </c>
      <c r="L290" s="7">
        <f t="shared" si="44"/>
        <v>0.001625459834031996</v>
      </c>
      <c r="M290" s="7">
        <f t="shared" si="44"/>
        <v>0.006480451706732826</v>
      </c>
      <c r="N290" s="7">
        <f>N289/417</f>
        <v>1</v>
      </c>
      <c r="O290" s="7">
        <f>O289/155</f>
        <v>1</v>
      </c>
      <c r="P290" s="7">
        <v>1</v>
      </c>
      <c r="Q290" s="7">
        <f>Q289/28</f>
        <v>1</v>
      </c>
    </row>
    <row r="291" spans="2:17" ht="4.5" customHeight="1">
      <c r="B291" s="1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9">
      <c r="A292" s="5" t="s">
        <v>123</v>
      </c>
      <c r="B292" s="1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9">
      <c r="B293" s="9" t="s">
        <v>90</v>
      </c>
      <c r="C293" s="3">
        <v>734</v>
      </c>
      <c r="D293" s="3">
        <v>9164</v>
      </c>
      <c r="E293" s="3">
        <v>1070</v>
      </c>
      <c r="F293" s="3">
        <v>797</v>
      </c>
      <c r="G293" s="3">
        <v>1889</v>
      </c>
      <c r="H293" s="3">
        <v>45</v>
      </c>
      <c r="I293" s="3">
        <v>11483</v>
      </c>
      <c r="J293" s="3">
        <v>8959</v>
      </c>
      <c r="K293" s="3">
        <v>83</v>
      </c>
      <c r="L293" s="3">
        <v>27</v>
      </c>
      <c r="M293" s="3">
        <v>68</v>
      </c>
      <c r="N293" s="3">
        <v>118</v>
      </c>
      <c r="O293" s="3">
        <v>133</v>
      </c>
      <c r="P293" s="3">
        <v>140</v>
      </c>
      <c r="Q293" s="3">
        <v>45</v>
      </c>
    </row>
    <row r="294" spans="2:17" ht="9">
      <c r="B294" s="9" t="s">
        <v>115</v>
      </c>
      <c r="C294" s="3">
        <v>2240</v>
      </c>
      <c r="D294" s="3">
        <v>20387</v>
      </c>
      <c r="E294" s="3">
        <v>2143</v>
      </c>
      <c r="F294" s="3">
        <v>1579</v>
      </c>
      <c r="G294" s="3">
        <v>5563</v>
      </c>
      <c r="H294" s="3">
        <v>258</v>
      </c>
      <c r="I294" s="3">
        <v>19001</v>
      </c>
      <c r="J294" s="3">
        <v>26928</v>
      </c>
      <c r="K294" s="3">
        <v>716</v>
      </c>
      <c r="L294" s="3">
        <v>95</v>
      </c>
      <c r="M294" s="3">
        <v>244</v>
      </c>
      <c r="N294" s="3">
        <v>433</v>
      </c>
      <c r="O294" s="3">
        <v>329</v>
      </c>
      <c r="P294" s="3">
        <v>532</v>
      </c>
      <c r="Q294" s="3">
        <v>71</v>
      </c>
    </row>
    <row r="295" spans="1:17" ht="9">
      <c r="A295" s="4" t="s">
        <v>29</v>
      </c>
      <c r="C295" s="3">
        <v>2974</v>
      </c>
      <c r="D295" s="3">
        <v>29551</v>
      </c>
      <c r="E295" s="3">
        <v>3213</v>
      </c>
      <c r="F295" s="3">
        <v>2376</v>
      </c>
      <c r="G295" s="3">
        <v>7452</v>
      </c>
      <c r="H295" s="3">
        <v>303</v>
      </c>
      <c r="I295" s="3">
        <v>30484</v>
      </c>
      <c r="J295" s="3">
        <v>35887</v>
      </c>
      <c r="K295" s="3">
        <v>799</v>
      </c>
      <c r="L295" s="3">
        <v>122</v>
      </c>
      <c r="M295" s="3">
        <v>312</v>
      </c>
      <c r="N295" s="3">
        <v>551</v>
      </c>
      <c r="O295" s="3">
        <v>462</v>
      </c>
      <c r="P295" s="3">
        <v>672</v>
      </c>
      <c r="Q295" s="3">
        <v>116</v>
      </c>
    </row>
    <row r="296" spans="2:17" s="6" customFormat="1" ht="9">
      <c r="B296" s="10" t="s">
        <v>133</v>
      </c>
      <c r="C296" s="7">
        <f>C295/38114</f>
        <v>0.07802907068268877</v>
      </c>
      <c r="D296" s="7">
        <f>D295/38114</f>
        <v>0.7753318990397229</v>
      </c>
      <c r="E296" s="7">
        <f>E295/38114</f>
        <v>0.08429973238180197</v>
      </c>
      <c r="F296" s="7">
        <f>F295/38114</f>
        <v>0.06233929789578632</v>
      </c>
      <c r="G296" s="7">
        <f aca="true" t="shared" si="45" ref="G296:M296">G295/75359</f>
        <v>0.09888666250879126</v>
      </c>
      <c r="H296" s="7">
        <f t="shared" si="45"/>
        <v>0.004020753990896907</v>
      </c>
      <c r="I296" s="7">
        <f t="shared" si="45"/>
        <v>0.4045170450775621</v>
      </c>
      <c r="J296" s="7">
        <f t="shared" si="45"/>
        <v>0.4762138563409812</v>
      </c>
      <c r="K296" s="7">
        <f t="shared" si="45"/>
        <v>0.010602582306028478</v>
      </c>
      <c r="L296" s="7">
        <f t="shared" si="45"/>
        <v>0.0016189174484799427</v>
      </c>
      <c r="M296" s="7">
        <f t="shared" si="45"/>
        <v>0.004140182327260182</v>
      </c>
      <c r="N296" s="7">
        <f>N295/551</f>
        <v>1</v>
      </c>
      <c r="O296" s="7">
        <f>O295/462</f>
        <v>1</v>
      </c>
      <c r="P296" s="7">
        <v>1</v>
      </c>
      <c r="Q296" s="7">
        <f>Q295/116</f>
        <v>1</v>
      </c>
    </row>
    <row r="297" spans="2:17" ht="4.5" customHeight="1">
      <c r="B297" s="1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9">
      <c r="A298" s="5" t="s">
        <v>124</v>
      </c>
      <c r="B298" s="1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9">
      <c r="B299" s="9" t="s">
        <v>115</v>
      </c>
      <c r="C299" s="3">
        <v>1350</v>
      </c>
      <c r="D299" s="3">
        <v>16338</v>
      </c>
      <c r="E299" s="3">
        <v>1984</v>
      </c>
      <c r="F299" s="3">
        <v>938</v>
      </c>
      <c r="G299" s="3">
        <v>2527</v>
      </c>
      <c r="H299" s="3">
        <v>169</v>
      </c>
      <c r="I299" s="3">
        <v>6421</v>
      </c>
      <c r="J299" s="3">
        <v>9696</v>
      </c>
      <c r="K299" s="3">
        <v>568</v>
      </c>
      <c r="L299" s="3">
        <v>74</v>
      </c>
      <c r="M299" s="3">
        <v>180</v>
      </c>
      <c r="N299" s="3">
        <v>292</v>
      </c>
      <c r="O299" s="3">
        <v>111</v>
      </c>
      <c r="P299" s="3">
        <v>212</v>
      </c>
      <c r="Q299" s="3">
        <v>35</v>
      </c>
    </row>
    <row r="300" spans="1:17" ht="9">
      <c r="A300" s="4" t="s">
        <v>29</v>
      </c>
      <c r="C300" s="3">
        <v>1350</v>
      </c>
      <c r="D300" s="3">
        <v>16338</v>
      </c>
      <c r="E300" s="3">
        <v>1984</v>
      </c>
      <c r="F300" s="3">
        <v>938</v>
      </c>
      <c r="G300" s="3">
        <v>2527</v>
      </c>
      <c r="H300" s="3">
        <v>169</v>
      </c>
      <c r="I300" s="3">
        <v>6421</v>
      </c>
      <c r="J300" s="3">
        <v>9696</v>
      </c>
      <c r="K300" s="3">
        <v>568</v>
      </c>
      <c r="L300" s="3">
        <v>74</v>
      </c>
      <c r="M300" s="3">
        <v>180</v>
      </c>
      <c r="N300" s="3">
        <v>292</v>
      </c>
      <c r="O300" s="3">
        <v>111</v>
      </c>
      <c r="P300" s="3">
        <v>212</v>
      </c>
      <c r="Q300" s="3">
        <v>35</v>
      </c>
    </row>
    <row r="301" spans="2:17" s="6" customFormat="1" ht="9">
      <c r="B301" s="10" t="s">
        <v>133</v>
      </c>
      <c r="C301" s="7">
        <f>C300/20610</f>
        <v>0.06550218340611354</v>
      </c>
      <c r="D301" s="7">
        <f>D300/20610</f>
        <v>0.7927219796215429</v>
      </c>
      <c r="E301" s="7">
        <f>E300/20610</f>
        <v>0.09626394953905872</v>
      </c>
      <c r="F301" s="7">
        <f>F300/20610</f>
        <v>0.04551188743328481</v>
      </c>
      <c r="G301" s="7">
        <f aca="true" t="shared" si="46" ref="G301:M301">G300/19635</f>
        <v>0.128698752228164</v>
      </c>
      <c r="H301" s="7">
        <f t="shared" si="46"/>
        <v>0.008607079195314489</v>
      </c>
      <c r="I301" s="7">
        <f t="shared" si="46"/>
        <v>0.3270180799592564</v>
      </c>
      <c r="J301" s="7">
        <f t="shared" si="46"/>
        <v>0.4938120702826585</v>
      </c>
      <c r="K301" s="7">
        <f t="shared" si="46"/>
        <v>0.028927934810287752</v>
      </c>
      <c r="L301" s="7">
        <f t="shared" si="46"/>
        <v>0.0037687802393684745</v>
      </c>
      <c r="M301" s="7">
        <f t="shared" si="46"/>
        <v>0.009167303284950344</v>
      </c>
      <c r="N301" s="7">
        <f>N300/292</f>
        <v>1</v>
      </c>
      <c r="O301" s="7">
        <f>O300/111</f>
        <v>1</v>
      </c>
      <c r="P301" s="7">
        <v>1</v>
      </c>
      <c r="Q301" s="7">
        <f>Q300/35</f>
        <v>1</v>
      </c>
    </row>
    <row r="302" spans="2:17" ht="4.5" customHeight="1">
      <c r="B302" s="1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9">
      <c r="A303" s="5" t="s">
        <v>125</v>
      </c>
      <c r="B303" s="1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9">
      <c r="B304" s="9" t="s">
        <v>115</v>
      </c>
      <c r="C304" s="3">
        <v>2716</v>
      </c>
      <c r="D304" s="3">
        <v>33536</v>
      </c>
      <c r="E304" s="3">
        <v>3628</v>
      </c>
      <c r="F304" s="3">
        <v>2538</v>
      </c>
      <c r="G304" s="3">
        <v>8677</v>
      </c>
      <c r="H304" s="3">
        <v>386</v>
      </c>
      <c r="I304" s="3">
        <v>41298</v>
      </c>
      <c r="J304" s="3">
        <v>48378</v>
      </c>
      <c r="K304" s="3">
        <v>664</v>
      </c>
      <c r="L304" s="3">
        <v>310</v>
      </c>
      <c r="M304" s="3">
        <v>446</v>
      </c>
      <c r="N304" s="3">
        <v>777</v>
      </c>
      <c r="O304" s="3">
        <v>496</v>
      </c>
      <c r="P304" s="3">
        <v>745</v>
      </c>
      <c r="Q304" s="3">
        <v>112</v>
      </c>
    </row>
    <row r="305" spans="1:17" ht="9">
      <c r="A305" s="4" t="s">
        <v>29</v>
      </c>
      <c r="C305" s="3">
        <v>2716</v>
      </c>
      <c r="D305" s="3">
        <v>33536</v>
      </c>
      <c r="E305" s="3">
        <v>3628</v>
      </c>
      <c r="F305" s="3">
        <v>2538</v>
      </c>
      <c r="G305" s="3">
        <v>8677</v>
      </c>
      <c r="H305" s="3">
        <v>386</v>
      </c>
      <c r="I305" s="3">
        <v>41298</v>
      </c>
      <c r="J305" s="3">
        <v>48378</v>
      </c>
      <c r="K305" s="3">
        <v>664</v>
      </c>
      <c r="L305" s="3">
        <v>310</v>
      </c>
      <c r="M305" s="3">
        <v>446</v>
      </c>
      <c r="N305" s="3">
        <v>777</v>
      </c>
      <c r="O305" s="3">
        <v>496</v>
      </c>
      <c r="P305" s="3">
        <v>745</v>
      </c>
      <c r="Q305" s="3">
        <v>112</v>
      </c>
    </row>
    <row r="306" spans="2:17" s="6" customFormat="1" ht="9">
      <c r="B306" s="10" t="s">
        <v>133</v>
      </c>
      <c r="C306" s="7">
        <f>C305/42418</f>
        <v>0.0640294214720166</v>
      </c>
      <c r="D306" s="7">
        <f>D305/42418</f>
        <v>0.7906077608562403</v>
      </c>
      <c r="E306" s="7">
        <f>E305/42418</f>
        <v>0.08552972794568343</v>
      </c>
      <c r="F306" s="7">
        <f>F305/42418</f>
        <v>0.05983308972605969</v>
      </c>
      <c r="G306" s="7">
        <f aca="true" t="shared" si="47" ref="G306:M306">G305/100159</f>
        <v>0.08663225471500315</v>
      </c>
      <c r="H306" s="7">
        <f t="shared" si="47"/>
        <v>0.0038538723429746703</v>
      </c>
      <c r="I306" s="7">
        <f t="shared" si="47"/>
        <v>0.41232440419732624</v>
      </c>
      <c r="J306" s="7">
        <f t="shared" si="47"/>
        <v>0.48301201090266477</v>
      </c>
      <c r="K306" s="7">
        <f t="shared" si="47"/>
        <v>0.006629459159935703</v>
      </c>
      <c r="L306" s="7">
        <f t="shared" si="47"/>
        <v>0.0030950788246687766</v>
      </c>
      <c r="M306" s="7">
        <f t="shared" si="47"/>
        <v>0.004452919857426692</v>
      </c>
      <c r="N306" s="7">
        <f>N305/777</f>
        <v>1</v>
      </c>
      <c r="O306" s="7">
        <f>O305/496</f>
        <v>1</v>
      </c>
      <c r="P306" s="7">
        <v>1</v>
      </c>
      <c r="Q306" s="7">
        <f>Q305/112</f>
        <v>1</v>
      </c>
    </row>
    <row r="307" spans="2:17" ht="4.5" customHeight="1">
      <c r="B307" s="1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9">
      <c r="A308" s="5" t="s">
        <v>127</v>
      </c>
      <c r="B308" s="1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9">
      <c r="B309" s="9" t="s">
        <v>117</v>
      </c>
      <c r="C309" s="3">
        <v>521</v>
      </c>
      <c r="D309" s="3">
        <v>7133</v>
      </c>
      <c r="E309" s="3">
        <v>685</v>
      </c>
      <c r="F309" s="3">
        <v>398</v>
      </c>
      <c r="G309" s="3">
        <v>1963</v>
      </c>
      <c r="H309" s="3">
        <v>96</v>
      </c>
      <c r="I309" s="3">
        <v>6376</v>
      </c>
      <c r="J309" s="3">
        <v>8615</v>
      </c>
      <c r="K309" s="3">
        <v>172</v>
      </c>
      <c r="L309" s="3">
        <v>32</v>
      </c>
      <c r="M309" s="3">
        <v>95</v>
      </c>
      <c r="N309" s="3">
        <v>185</v>
      </c>
      <c r="O309" s="3">
        <v>48</v>
      </c>
      <c r="P309" s="3">
        <v>85</v>
      </c>
      <c r="Q309" s="3">
        <v>11</v>
      </c>
    </row>
    <row r="310" spans="2:17" ht="9">
      <c r="B310" s="9" t="s">
        <v>126</v>
      </c>
      <c r="C310" s="3">
        <v>1180</v>
      </c>
      <c r="D310" s="3">
        <v>13253</v>
      </c>
      <c r="E310" s="3">
        <v>1649</v>
      </c>
      <c r="F310" s="3">
        <v>997</v>
      </c>
      <c r="G310" s="3">
        <v>5173</v>
      </c>
      <c r="H310" s="3">
        <v>170</v>
      </c>
      <c r="I310" s="3">
        <v>10121</v>
      </c>
      <c r="J310" s="3">
        <v>23114</v>
      </c>
      <c r="K310" s="3">
        <v>308</v>
      </c>
      <c r="L310" s="3">
        <v>49</v>
      </c>
      <c r="M310" s="3">
        <v>196</v>
      </c>
      <c r="N310" s="3">
        <v>390</v>
      </c>
      <c r="O310" s="3">
        <v>169</v>
      </c>
      <c r="P310" s="3">
        <v>288</v>
      </c>
      <c r="Q310" s="3">
        <v>38</v>
      </c>
    </row>
    <row r="311" spans="1:17" ht="9">
      <c r="A311" s="4" t="s">
        <v>29</v>
      </c>
      <c r="C311" s="3">
        <v>1701</v>
      </c>
      <c r="D311" s="3">
        <v>20386</v>
      </c>
      <c r="E311" s="3">
        <v>2334</v>
      </c>
      <c r="F311" s="3">
        <v>1395</v>
      </c>
      <c r="G311" s="3">
        <v>7136</v>
      </c>
      <c r="H311" s="3">
        <v>266</v>
      </c>
      <c r="I311" s="3">
        <v>16497</v>
      </c>
      <c r="J311" s="3">
        <v>31729</v>
      </c>
      <c r="K311" s="3">
        <v>480</v>
      </c>
      <c r="L311" s="3">
        <v>81</v>
      </c>
      <c r="M311" s="3">
        <v>291</v>
      </c>
      <c r="N311" s="3">
        <v>575</v>
      </c>
      <c r="O311" s="3">
        <v>217</v>
      </c>
      <c r="P311" s="3">
        <v>373</v>
      </c>
      <c r="Q311" s="3">
        <v>49</v>
      </c>
    </row>
    <row r="312" spans="2:17" s="6" customFormat="1" ht="9">
      <c r="B312" s="10" t="s">
        <v>133</v>
      </c>
      <c r="C312" s="7">
        <f>C311/25816</f>
        <v>0.06588937093275488</v>
      </c>
      <c r="D312" s="7">
        <f>D311/25816</f>
        <v>0.7896653238301828</v>
      </c>
      <c r="E312" s="7">
        <f>E311/25816</f>
        <v>0.09040904865199877</v>
      </c>
      <c r="F312" s="7">
        <f>F311/25816</f>
        <v>0.05403625658506352</v>
      </c>
      <c r="G312" s="7">
        <f aca="true" t="shared" si="48" ref="G312:M312">G311/56480</f>
        <v>0.1263456090651558</v>
      </c>
      <c r="H312" s="7">
        <f t="shared" si="48"/>
        <v>0.004709631728045326</v>
      </c>
      <c r="I312" s="7">
        <f t="shared" si="48"/>
        <v>0.2920856940509915</v>
      </c>
      <c r="J312" s="7">
        <f t="shared" si="48"/>
        <v>0.5617740793201134</v>
      </c>
      <c r="K312" s="7">
        <f t="shared" si="48"/>
        <v>0.0084985835694051</v>
      </c>
      <c r="L312" s="7">
        <f t="shared" si="48"/>
        <v>0.0014341359773371106</v>
      </c>
      <c r="M312" s="7">
        <f t="shared" si="48"/>
        <v>0.005152266288951842</v>
      </c>
      <c r="N312" s="7">
        <f>N311/575</f>
        <v>1</v>
      </c>
      <c r="O312" s="7">
        <f>O311/217</f>
        <v>1</v>
      </c>
      <c r="P312" s="7">
        <v>1</v>
      </c>
      <c r="Q312" s="7">
        <f>Q311/49</f>
        <v>1</v>
      </c>
    </row>
    <row r="313" spans="2:17" ht="4.5" customHeight="1">
      <c r="B313" s="1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9">
      <c r="A314" s="5" t="s">
        <v>128</v>
      </c>
      <c r="B314" s="1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9">
      <c r="B315" s="9" t="s">
        <v>126</v>
      </c>
      <c r="C315" s="3">
        <v>2194</v>
      </c>
      <c r="D315" s="3">
        <v>27411</v>
      </c>
      <c r="E315" s="3">
        <v>2482</v>
      </c>
      <c r="F315" s="3">
        <v>1572</v>
      </c>
      <c r="G315" s="3">
        <v>9106</v>
      </c>
      <c r="H315" s="3">
        <v>281</v>
      </c>
      <c r="I315" s="3">
        <v>16998</v>
      </c>
      <c r="J315" s="3">
        <v>39343</v>
      </c>
      <c r="K315" s="3">
        <v>395</v>
      </c>
      <c r="L315" s="3">
        <v>104</v>
      </c>
      <c r="M315" s="3">
        <v>269</v>
      </c>
      <c r="N315" s="3">
        <v>527</v>
      </c>
      <c r="O315" s="3">
        <v>423</v>
      </c>
      <c r="P315" s="3">
        <v>550</v>
      </c>
      <c r="Q315" s="3">
        <v>115</v>
      </c>
    </row>
    <row r="316" spans="1:17" ht="9">
      <c r="A316" s="4" t="s">
        <v>29</v>
      </c>
      <c r="C316" s="3">
        <v>2194</v>
      </c>
      <c r="D316" s="3">
        <v>27411</v>
      </c>
      <c r="E316" s="3">
        <v>2482</v>
      </c>
      <c r="F316" s="3">
        <v>1572</v>
      </c>
      <c r="G316" s="3">
        <v>9106</v>
      </c>
      <c r="H316" s="3">
        <v>281</v>
      </c>
      <c r="I316" s="3">
        <v>16998</v>
      </c>
      <c r="J316" s="3">
        <v>39343</v>
      </c>
      <c r="K316" s="3">
        <v>395</v>
      </c>
      <c r="L316" s="3">
        <v>104</v>
      </c>
      <c r="M316" s="3">
        <v>269</v>
      </c>
      <c r="N316" s="3">
        <v>527</v>
      </c>
      <c r="O316" s="3">
        <v>423</v>
      </c>
      <c r="P316" s="3">
        <v>550</v>
      </c>
      <c r="Q316" s="3">
        <v>115</v>
      </c>
    </row>
    <row r="317" spans="2:17" s="6" customFormat="1" ht="9">
      <c r="B317" s="10" t="s">
        <v>133</v>
      </c>
      <c r="C317" s="7">
        <f>C316/33659</f>
        <v>0.06518316052170296</v>
      </c>
      <c r="D317" s="7">
        <f>D316/33659</f>
        <v>0.8143735702189607</v>
      </c>
      <c r="E317" s="7">
        <f>E316/33659</f>
        <v>0.073739564455272</v>
      </c>
      <c r="F317" s="7">
        <f>F316/33659</f>
        <v>0.04670370480406429</v>
      </c>
      <c r="G317" s="7">
        <f aca="true" t="shared" si="49" ref="G317:M317">G316/66496</f>
        <v>0.13694056785370548</v>
      </c>
      <c r="H317" s="7">
        <f t="shared" si="49"/>
        <v>0.004225818094321463</v>
      </c>
      <c r="I317" s="7">
        <f t="shared" si="49"/>
        <v>0.25562439846005774</v>
      </c>
      <c r="J317" s="7">
        <f t="shared" si="49"/>
        <v>0.5916596487006738</v>
      </c>
      <c r="K317" s="7">
        <f t="shared" si="49"/>
        <v>0.005940206929740135</v>
      </c>
      <c r="L317" s="7">
        <f t="shared" si="49"/>
        <v>0.0015640038498556303</v>
      </c>
      <c r="M317" s="7">
        <f t="shared" si="49"/>
        <v>0.004045356111645813</v>
      </c>
      <c r="N317" s="7">
        <f>N316/527</f>
        <v>1</v>
      </c>
      <c r="O317" s="7">
        <f>O316/423</f>
        <v>1</v>
      </c>
      <c r="P317" s="7">
        <v>1</v>
      </c>
      <c r="Q317" s="7">
        <f>Q316/115</f>
        <v>1</v>
      </c>
    </row>
    <row r="318" spans="2:17" ht="4.5" customHeight="1">
      <c r="B318" s="1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9">
      <c r="A319" s="5" t="s">
        <v>130</v>
      </c>
      <c r="B319" s="1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9">
      <c r="B320" s="9" t="s">
        <v>129</v>
      </c>
      <c r="C320" s="3">
        <v>837</v>
      </c>
      <c r="D320" s="3">
        <v>6822</v>
      </c>
      <c r="E320" s="3">
        <v>1542</v>
      </c>
      <c r="F320" s="3">
        <v>270</v>
      </c>
      <c r="G320" s="3">
        <v>1457</v>
      </c>
      <c r="H320" s="3">
        <v>63</v>
      </c>
      <c r="I320" s="3">
        <v>2223</v>
      </c>
      <c r="J320" s="3">
        <v>2016</v>
      </c>
      <c r="K320" s="3">
        <v>121</v>
      </c>
      <c r="L320" s="3">
        <v>18</v>
      </c>
      <c r="M320" s="3">
        <v>83</v>
      </c>
      <c r="N320" s="3">
        <v>137</v>
      </c>
      <c r="O320" s="3">
        <v>26</v>
      </c>
      <c r="P320" s="3">
        <v>33</v>
      </c>
      <c r="Q320" s="3">
        <v>5</v>
      </c>
    </row>
    <row r="321" spans="2:17" ht="9">
      <c r="B321" s="9" t="s">
        <v>126</v>
      </c>
      <c r="C321" s="3">
        <v>2002</v>
      </c>
      <c r="D321" s="3">
        <v>20495</v>
      </c>
      <c r="E321" s="3">
        <v>2107</v>
      </c>
      <c r="F321" s="3">
        <v>1052</v>
      </c>
      <c r="G321" s="3">
        <v>3385</v>
      </c>
      <c r="H321" s="3">
        <v>211</v>
      </c>
      <c r="I321" s="3">
        <v>4134</v>
      </c>
      <c r="J321" s="3">
        <v>11127</v>
      </c>
      <c r="K321" s="3">
        <v>200</v>
      </c>
      <c r="L321" s="3">
        <v>71</v>
      </c>
      <c r="M321" s="3">
        <v>241</v>
      </c>
      <c r="N321" s="3">
        <v>294</v>
      </c>
      <c r="O321" s="3">
        <v>127</v>
      </c>
      <c r="P321" s="3">
        <v>141</v>
      </c>
      <c r="Q321" s="3">
        <v>73</v>
      </c>
    </row>
    <row r="322" spans="1:17" ht="9">
      <c r="A322" s="4" t="s">
        <v>29</v>
      </c>
      <c r="C322" s="3">
        <v>2839</v>
      </c>
      <c r="D322" s="3">
        <v>27317</v>
      </c>
      <c r="E322" s="3">
        <v>3649</v>
      </c>
      <c r="F322" s="3">
        <v>1322</v>
      </c>
      <c r="G322" s="3">
        <v>4842</v>
      </c>
      <c r="H322" s="3">
        <v>274</v>
      </c>
      <c r="I322" s="3">
        <v>6357</v>
      </c>
      <c r="J322" s="3">
        <v>13143</v>
      </c>
      <c r="K322" s="3">
        <v>321</v>
      </c>
      <c r="L322" s="3">
        <v>89</v>
      </c>
      <c r="M322" s="3">
        <v>324</v>
      </c>
      <c r="N322" s="3">
        <v>431</v>
      </c>
      <c r="O322" s="3">
        <v>153</v>
      </c>
      <c r="P322" s="3">
        <v>174</v>
      </c>
      <c r="Q322" s="3">
        <v>78</v>
      </c>
    </row>
    <row r="323" spans="2:17" s="6" customFormat="1" ht="9">
      <c r="B323" s="10" t="s">
        <v>133</v>
      </c>
      <c r="C323" s="7">
        <f>C322/35127</f>
        <v>0.08082102086713924</v>
      </c>
      <c r="D323" s="7">
        <f>D322/35127</f>
        <v>0.7776639052580636</v>
      </c>
      <c r="E323" s="7">
        <f>E322/35127</f>
        <v>0.10388020610926069</v>
      </c>
      <c r="F323" s="7">
        <f>F322/35127</f>
        <v>0.037634867765536484</v>
      </c>
      <c r="G323" s="7">
        <f aca="true" t="shared" si="50" ref="G323:M323">G322/25350</f>
        <v>0.1910059171597633</v>
      </c>
      <c r="H323" s="7">
        <f t="shared" si="50"/>
        <v>0.010808678500986194</v>
      </c>
      <c r="I323" s="7">
        <f t="shared" si="50"/>
        <v>0.25076923076923074</v>
      </c>
      <c r="J323" s="7">
        <f t="shared" si="50"/>
        <v>0.5184615384615384</v>
      </c>
      <c r="K323" s="7">
        <f t="shared" si="50"/>
        <v>0.012662721893491125</v>
      </c>
      <c r="L323" s="7">
        <f t="shared" si="50"/>
        <v>0.0035108481262327417</v>
      </c>
      <c r="M323" s="7">
        <f t="shared" si="50"/>
        <v>0.012781065088757397</v>
      </c>
      <c r="N323" s="7">
        <f>N322/431</f>
        <v>1</v>
      </c>
      <c r="O323" s="7">
        <f>O322/153</f>
        <v>1</v>
      </c>
      <c r="P323" s="7">
        <v>1</v>
      </c>
      <c r="Q323" s="7">
        <f>Q322/78</f>
        <v>1</v>
      </c>
    </row>
    <row r="324" spans="2:17" ht="4.5" customHeight="1">
      <c r="B324" s="1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9">
      <c r="A325" s="5" t="s">
        <v>131</v>
      </c>
      <c r="B325" s="1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9">
      <c r="B326" s="9" t="s">
        <v>126</v>
      </c>
      <c r="C326" s="3">
        <v>2477</v>
      </c>
      <c r="D326" s="3">
        <v>27521</v>
      </c>
      <c r="E326" s="3">
        <v>2966</v>
      </c>
      <c r="F326" s="3">
        <v>1634</v>
      </c>
      <c r="G326" s="3">
        <v>10481</v>
      </c>
      <c r="H326" s="3">
        <v>358</v>
      </c>
      <c r="I326" s="3">
        <v>13426</v>
      </c>
      <c r="J326" s="3">
        <v>42169</v>
      </c>
      <c r="K326" s="3">
        <v>648</v>
      </c>
      <c r="L326" s="3">
        <v>233</v>
      </c>
      <c r="M326" s="3">
        <v>351</v>
      </c>
      <c r="N326" s="3">
        <v>691</v>
      </c>
      <c r="O326" s="3">
        <v>328</v>
      </c>
      <c r="P326" s="3">
        <v>523</v>
      </c>
      <c r="Q326" s="3">
        <v>95</v>
      </c>
    </row>
    <row r="327" spans="1:17" ht="9">
      <c r="A327" s="4" t="s">
        <v>29</v>
      </c>
      <c r="C327" s="3">
        <v>2477</v>
      </c>
      <c r="D327" s="3">
        <v>27521</v>
      </c>
      <c r="E327" s="3">
        <v>2966</v>
      </c>
      <c r="F327" s="3">
        <v>1634</v>
      </c>
      <c r="G327" s="3">
        <v>10481</v>
      </c>
      <c r="H327" s="3">
        <v>358</v>
      </c>
      <c r="I327" s="3">
        <v>13426</v>
      </c>
      <c r="J327" s="3">
        <v>42169</v>
      </c>
      <c r="K327" s="3">
        <v>648</v>
      </c>
      <c r="L327" s="3">
        <v>233</v>
      </c>
      <c r="M327" s="3">
        <v>351</v>
      </c>
      <c r="N327" s="3">
        <v>691</v>
      </c>
      <c r="O327" s="3">
        <v>328</v>
      </c>
      <c r="P327" s="3">
        <v>523</v>
      </c>
      <c r="Q327" s="3">
        <v>95</v>
      </c>
    </row>
    <row r="328" spans="2:17" s="6" customFormat="1" ht="9">
      <c r="B328" s="10" t="s">
        <v>133</v>
      </c>
      <c r="C328" s="7">
        <f>C327/34598</f>
        <v>0.0715937337418348</v>
      </c>
      <c r="D328" s="7">
        <f>D327/34598</f>
        <v>0.7954506040811608</v>
      </c>
      <c r="E328" s="7">
        <f>E327/34598</f>
        <v>0.08572749869934679</v>
      </c>
      <c r="F328" s="7">
        <f>F327/34598</f>
        <v>0.04722816347765767</v>
      </c>
      <c r="G328" s="7">
        <f aca="true" t="shared" si="51" ref="G328:M328">G327/67666</f>
        <v>0.15489315165666656</v>
      </c>
      <c r="H328" s="7">
        <f t="shared" si="51"/>
        <v>0.005290692519138119</v>
      </c>
      <c r="I328" s="7">
        <f t="shared" si="51"/>
        <v>0.19841574793840333</v>
      </c>
      <c r="J328" s="7">
        <f t="shared" si="51"/>
        <v>0.6231933319540094</v>
      </c>
      <c r="K328" s="7">
        <f t="shared" si="51"/>
        <v>0.009576449029054473</v>
      </c>
      <c r="L328" s="7">
        <f t="shared" si="51"/>
        <v>0.0034433836786569327</v>
      </c>
      <c r="M328" s="7">
        <f t="shared" si="51"/>
        <v>0.005187243224071173</v>
      </c>
      <c r="N328" s="7">
        <f>N327/691</f>
        <v>1</v>
      </c>
      <c r="O328" s="7">
        <f>O327/328</f>
        <v>1</v>
      </c>
      <c r="P328" s="7">
        <f>P327/523</f>
        <v>1</v>
      </c>
      <c r="Q328" s="7">
        <f>Q327/95</f>
        <v>1</v>
      </c>
    </row>
    <row r="329" spans="2:17" ht="4.5" customHeight="1">
      <c r="B329" s="1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9">
      <c r="A330" s="5" t="s">
        <v>132</v>
      </c>
      <c r="B330" s="1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9">
      <c r="B331" s="9" t="s">
        <v>126</v>
      </c>
      <c r="C331" s="3">
        <v>1792</v>
      </c>
      <c r="D331" s="3">
        <v>29333</v>
      </c>
      <c r="E331" s="3">
        <v>2518</v>
      </c>
      <c r="F331" s="3">
        <v>1385</v>
      </c>
      <c r="G331" s="3">
        <v>5028</v>
      </c>
      <c r="H331" s="3">
        <v>310</v>
      </c>
      <c r="I331" s="3">
        <v>10038</v>
      </c>
      <c r="J331" s="3">
        <v>19336</v>
      </c>
      <c r="K331" s="3">
        <v>365</v>
      </c>
      <c r="L331" s="3">
        <v>118</v>
      </c>
      <c r="M331" s="3">
        <v>311</v>
      </c>
      <c r="N331" s="3">
        <v>501</v>
      </c>
      <c r="O331" s="3">
        <v>819</v>
      </c>
      <c r="P331" s="3">
        <v>552</v>
      </c>
      <c r="Q331" s="3">
        <v>128</v>
      </c>
    </row>
    <row r="332" spans="1:17" ht="9">
      <c r="A332" s="4" t="s">
        <v>29</v>
      </c>
      <c r="C332" s="3">
        <v>1792</v>
      </c>
      <c r="D332" s="3">
        <v>29333</v>
      </c>
      <c r="E332" s="3">
        <v>2518</v>
      </c>
      <c r="F332" s="3">
        <v>1385</v>
      </c>
      <c r="G332" s="3">
        <v>5028</v>
      </c>
      <c r="H332" s="3">
        <v>310</v>
      </c>
      <c r="I332" s="3">
        <v>10038</v>
      </c>
      <c r="J332" s="3">
        <v>19336</v>
      </c>
      <c r="K332" s="3">
        <v>365</v>
      </c>
      <c r="L332" s="3">
        <v>118</v>
      </c>
      <c r="M332" s="3">
        <v>311</v>
      </c>
      <c r="N332" s="3">
        <v>501</v>
      </c>
      <c r="O332" s="3">
        <v>819</v>
      </c>
      <c r="P332" s="3">
        <v>552</v>
      </c>
      <c r="Q332" s="3">
        <v>128</v>
      </c>
    </row>
    <row r="333" spans="2:17" s="6" customFormat="1" ht="9">
      <c r="B333" s="10" t="s">
        <v>133</v>
      </c>
      <c r="C333" s="7">
        <f>C332/35028</f>
        <v>0.051159072741806554</v>
      </c>
      <c r="D333" s="7">
        <f>D332/35028</f>
        <v>0.837415781660386</v>
      </c>
      <c r="E333" s="7">
        <f>E332/35028</f>
        <v>0.07188534886376613</v>
      </c>
      <c r="F333" s="7">
        <f>F332/35028</f>
        <v>0.03953979673404134</v>
      </c>
      <c r="G333" s="7">
        <f aca="true" t="shared" si="52" ref="G333:M333">G332/35506</f>
        <v>0.14160986875457668</v>
      </c>
      <c r="H333" s="7">
        <f t="shared" si="52"/>
        <v>0.008730918717963162</v>
      </c>
      <c r="I333" s="7">
        <f t="shared" si="52"/>
        <v>0.28271278093843294</v>
      </c>
      <c r="J333" s="7">
        <f t="shared" si="52"/>
        <v>0.54458401396947</v>
      </c>
      <c r="K333" s="7">
        <f t="shared" si="52"/>
        <v>0.0102799526840534</v>
      </c>
      <c r="L333" s="7">
        <f t="shared" si="52"/>
        <v>0.003323381963611784</v>
      </c>
      <c r="M333" s="7">
        <f t="shared" si="52"/>
        <v>0.008759082971892075</v>
      </c>
      <c r="N333" s="7">
        <f>N332/501</f>
        <v>1</v>
      </c>
      <c r="O333" s="7">
        <f>O332/819</f>
        <v>1</v>
      </c>
      <c r="P333" s="7">
        <v>1</v>
      </c>
      <c r="Q333" s="7">
        <f>Q332/128</f>
        <v>1</v>
      </c>
    </row>
    <row r="334" spans="2:17" ht="4.5" customHeight="1">
      <c r="B334" s="1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9">
      <c r="B335" s="1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</sheetData>
  <printOptions/>
  <pageMargins left="0.8999999999999999" right="0.8999999999999999" top="1" bottom="0.8" header="0.3" footer="0.3"/>
  <pageSetup firstPageNumber="85" useFirstPageNumber="1" horizontalDpi="600" verticalDpi="600" orientation="portrait" pageOrder="overThenDown" r:id="rId1"/>
  <headerFooter alignWithMargins="0">
    <oddHeader>&amp;C&amp;"Arial,Bold"&amp;11Supplement to the Statement of Vote
Counties by Congressional Districts
for Governor</oddHeader>
    <oddFooter>&amp;C&amp;"Arial,Regular"&amp;8&amp;P</oddFooter>
  </headerFooter>
  <rowBreaks count="3" manualBreakCount="3">
    <brk id="71" max="255" man="1"/>
    <brk id="13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Charlene Castaneda</cp:lastModifiedBy>
  <cp:lastPrinted>2002-06-17T20:43:04Z</cp:lastPrinted>
  <dcterms:created xsi:type="dcterms:W3CDTF">2002-06-05T23:24:02Z</dcterms:created>
  <dcterms:modified xsi:type="dcterms:W3CDTF">2013-04-18T16:08:26Z</dcterms:modified>
  <cp:category/>
  <cp:version/>
  <cp:contentType/>
  <cp:contentStatus/>
</cp:coreProperties>
</file>