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S-Senate SSOV by Congressional" sheetId="1" r:id="rId1"/>
  </sheets>
  <definedNames>
    <definedName name="_xlnm.Print_Area" localSheetId="0">'US-Senate SSOV by Congressional'!$A$1:$Q$335</definedName>
    <definedName name="_xlnm.Print_Titles" localSheetId="0">'US-Senate SSOV by Congressional'!$A:$B,'US-Senate SSOV by Congressional'!$1:$2</definedName>
  </definedNames>
  <calcPr fullCalcOnLoad="1"/>
</workbook>
</file>

<file path=xl/sharedStrings.xml><?xml version="1.0" encoding="utf-8"?>
<sst xmlns="http://schemas.openxmlformats.org/spreadsheetml/2006/main" count="309" uniqueCount="133">
  <si>
    <t>Barbara Boxer</t>
  </si>
  <si>
    <t>James Stewart</t>
  </si>
  <si>
    <t>Rosario Marin</t>
  </si>
  <si>
    <t>John M. Van Zandt</t>
  </si>
  <si>
    <t>Barry L. Hatch</t>
  </si>
  <si>
    <t>Howard Kaloogian</t>
  </si>
  <si>
    <t>Don J. Grundmann</t>
  </si>
  <si>
    <t>Gail K. Lightfoot</t>
  </si>
  <si>
    <t>James P. "Jim" Gray</t>
  </si>
  <si>
    <t>Marsha Feinland</t>
  </si>
  <si>
    <t>DEM</t>
  </si>
  <si>
    <t>REP</t>
  </si>
  <si>
    <t>AI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</si>
  <si>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</si>
  <si>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</si>
  <si>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</si>
  <si>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</si>
  <si>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</si>
  <si>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</si>
  <si>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</si>
  <si>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</si>
  <si>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</si>
  <si>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 (2000)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</si>
  <si>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</si>
  <si>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</si>
  <si>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</si>
  <si>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</si>
  <si>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</si>
  <si>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</si>
  <si>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</si>
  <si>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</si>
  <si>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</si>
  <si>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</si>
  <si>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 (2000)</t>
  </si>
  <si>
    <t>Alpine</t>
  </si>
  <si>
    <t>Amador</t>
  </si>
  <si>
    <t>Calaveras</t>
  </si>
  <si>
    <t>Sacramento</t>
  </si>
  <si>
    <t>Solano</t>
  </si>
  <si>
    <t>Congressional District 3 (2000)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</si>
  <si>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</si>
  <si>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</si>
  <si>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</si>
  <si>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</si>
  <si>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</si>
  <si>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</si>
  <si>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</si>
  <si>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 (2000)</t>
  </si>
  <si>
    <t>Congressional District 5 (2000)</t>
  </si>
  <si>
    <t>Marin</t>
  </si>
  <si>
    <t>Congressional District 6 (2000)</t>
  </si>
  <si>
    <t>Contra Costa</t>
  </si>
  <si>
    <t>Congressional District 7 (2000)</t>
  </si>
  <si>
    <t>San Francisco</t>
  </si>
  <si>
    <t>Congressional District 8 (2000)</t>
  </si>
  <si>
    <t>Alameda</t>
  </si>
  <si>
    <t>Congressional District 9 (2000)</t>
  </si>
  <si>
    <t>Congressional District 10 (2000)</t>
  </si>
  <si>
    <t>San Joaquin</t>
  </si>
  <si>
    <t>Santa Clara</t>
  </si>
  <si>
    <t>Congressional District 11 (2000)</t>
  </si>
  <si>
    <t>San Mateo</t>
  </si>
  <si>
    <t>Congressional District 12 (2000)</t>
  </si>
  <si>
    <t>Congressional District 13 (2000)</t>
  </si>
  <si>
    <t>Santa Cruz</t>
  </si>
  <si>
    <t>Congressional District 14 (2000)</t>
  </si>
  <si>
    <t>Congressional District 15 (2000)</t>
  </si>
  <si>
    <t>Congressional District 16 (2000)</t>
  </si>
  <si>
    <t>Monterey</t>
  </si>
  <si>
    <t>San Benito</t>
  </si>
  <si>
    <t>Congressional District 17 (2000)</t>
  </si>
  <si>
    <t>Fresno</t>
  </si>
  <si>
    <t>Madera</t>
  </si>
  <si>
    <t>Merced</t>
  </si>
  <si>
    <t>Stanislaus</t>
  </si>
  <si>
    <t>Congressional District 18 (2000)</t>
  </si>
  <si>
    <t>Mariposa</t>
  </si>
  <si>
    <t>Tuolumne</t>
  </si>
  <si>
    <t>Congressional District 19 (2000)</t>
  </si>
  <si>
    <t>Kern</t>
  </si>
  <si>
    <t>Kings</t>
  </si>
  <si>
    <t>Congressional District 20 (2000)</t>
  </si>
  <si>
    <t>Tulare</t>
  </si>
  <si>
    <t>Congressional District 21 (2000)</t>
  </si>
  <si>
    <t>Los Angeles</t>
  </si>
  <si>
    <t>San Luis Obispo</t>
  </si>
  <si>
    <t>Congressional District 22 (2000)</t>
  </si>
  <si>
    <t>Santa Barbara</t>
  </si>
  <si>
    <t>Ventura</t>
  </si>
  <si>
    <t>Congressional District 23 (2000)</t>
  </si>
  <si>
    <t>Congressional District 24 (2000)</t>
  </si>
  <si>
    <t>Inyo</t>
  </si>
  <si>
    <t>Mono</t>
  </si>
  <si>
    <t>San Bernardino</t>
  </si>
  <si>
    <t>Congressional District 25 (2000)</t>
  </si>
  <si>
    <t>Congressional District 26 (2000)</t>
  </si>
  <si>
    <t>Congressional District 27 (2000)</t>
  </si>
  <si>
    <t>Congressional District 28 (2000)</t>
  </si>
  <si>
    <t>Congressional District 29 (2000)</t>
  </si>
  <si>
    <t>Congressional District 30 (2000)</t>
  </si>
  <si>
    <t>Congressional District 31 (2000)</t>
  </si>
  <si>
    <t>Congressional District 32 (2000)</t>
  </si>
  <si>
    <t>Congressional District 33 (2000)</t>
  </si>
  <si>
    <t>Congressional District 34 (2000)</t>
  </si>
  <si>
    <t>Congressional District 35 (2000)</t>
  </si>
  <si>
    <t>Congressional District 36 (2000)</t>
  </si>
  <si>
    <t>Congressional District 37 (2000)</t>
  </si>
  <si>
    <t>Congressional District 38 (2000)</t>
  </si>
  <si>
    <t>Congressional District 39 (2000)</t>
  </si>
  <si>
    <t>Orange</t>
  </si>
  <si>
    <t>Congressional District 40 (2000)</t>
  </si>
  <si>
    <t>Riverside</t>
  </si>
  <si>
    <t>Congressional District 41 (2000)</t>
  </si>
  <si>
    <t>Congressional District 42 (2000)</t>
  </si>
  <si>
    <t>Congressional District 43 (2000)</t>
  </si>
  <si>
    <t>Congressional District 44 (2000)</t>
  </si>
  <si>
    <t>Congressional District 45 (2000)</t>
  </si>
  <si>
    <t>Congressional District 46 (2000)</t>
  </si>
  <si>
    <t>Congressional District 47 (2000)</t>
  </si>
  <si>
    <t>Congressional District 48 (2000)</t>
  </si>
  <si>
    <t>San Diego</t>
  </si>
  <si>
    <t>Congressional District 49 (2000)</t>
  </si>
  <si>
    <t>Congressional District 50 (2000)</t>
  </si>
  <si>
    <t>Imperial</t>
  </si>
  <si>
    <t>Congressional District 51 (2000)</t>
  </si>
  <si>
    <t>Congressional District 52 (2000)</t>
  </si>
  <si>
    <t>Congressional District 53 (2000)</t>
  </si>
  <si>
    <t>Percent, Total</t>
  </si>
  <si>
    <t>Bill 
Quraishi</t>
  </si>
  <si>
    <t>Danney 
Ball</t>
  </si>
  <si>
    <t>Bill 
Jones</t>
  </si>
  <si>
    <t>Toni 
Casey</t>
  </si>
  <si>
    <t>Tim 
Stoen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</si>
</sst>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3" width="5.7109375" style="1" bestFit="1" customWidth="1"/>
    <col min="4" max="4" width="5.421875" style="1" bestFit="1" customWidth="1"/>
    <col min="5" max="5" width="5.8515625" style="1" bestFit="1" customWidth="1"/>
    <col min="6" max="6" width="5.421875" style="1" bestFit="1" customWidth="1"/>
    <col min="7" max="7" width="5.8515625" style="1" bestFit="1" customWidth="1"/>
    <col min="8" max="8" width="7.00390625" style="1" bestFit="1" customWidth="1"/>
    <col min="9" max="9" width="5.421875" style="1" bestFit="1" customWidth="1"/>
    <col min="10" max="10" width="4.8515625" style="1" bestFit="1" customWidth="1"/>
    <col min="11" max="11" width="4.7109375" style="1" bestFit="1" customWidth="1"/>
    <col min="12" max="12" width="7.00390625" style="1" bestFit="1" customWidth="1"/>
    <col min="13" max="13" width="4.57421875" style="1" bestFit="1" customWidth="1"/>
    <col min="14" max="14" width="8.140625" style="1" customWidth="1"/>
    <col min="15" max="15" width="6.421875" style="1" bestFit="1" customWidth="1"/>
    <col min="16" max="16" width="7.28125" style="1" bestFit="1" customWidth="1"/>
    <col min="17" max="17" width="6.00390625" style="1" bestFit="1" customWidth="1"/>
    <col min="18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128</v>
      </c>
      <c r="F1" s="13" t="s">
        <v>129</v>
      </c>
      <c r="G1" s="13" t="s">
        <v>2</v>
      </c>
      <c r="H1" s="13" t="s">
        <v>3</v>
      </c>
      <c r="I1" s="13" t="s">
        <v>4</v>
      </c>
      <c r="J1" s="13" t="s">
        <v>130</v>
      </c>
      <c r="K1" s="13" t="s">
        <v>131</v>
      </c>
      <c r="L1" s="13" t="s">
        <v>5</v>
      </c>
      <c r="M1" s="13" t="s">
        <v>132</v>
      </c>
      <c r="N1" s="13" t="s">
        <v>6</v>
      </c>
      <c r="O1" s="13" t="s">
        <v>7</v>
      </c>
      <c r="P1" s="13" t="s">
        <v>8</v>
      </c>
      <c r="Q1" s="13" t="s">
        <v>9</v>
      </c>
    </row>
    <row r="2" spans="3:17" s="14" customFormat="1" ht="9">
      <c r="C2" s="15" t="s">
        <v>10</v>
      </c>
      <c r="D2" s="15" t="s">
        <v>11</v>
      </c>
      <c r="E2" s="15" t="s">
        <v>11</v>
      </c>
      <c r="F2" s="15" t="s">
        <v>11</v>
      </c>
      <c r="G2" s="15" t="s">
        <v>11</v>
      </c>
      <c r="H2" s="15" t="s">
        <v>11</v>
      </c>
      <c r="I2" s="15" t="s">
        <v>11</v>
      </c>
      <c r="J2" s="15" t="s">
        <v>11</v>
      </c>
      <c r="K2" s="15" t="s">
        <v>11</v>
      </c>
      <c r="L2" s="15" t="s">
        <v>11</v>
      </c>
      <c r="M2" s="15" t="s">
        <v>11</v>
      </c>
      <c r="N2" s="15" t="s">
        <v>12</v>
      </c>
      <c r="O2" s="15" t="s">
        <v>13</v>
      </c>
      <c r="P2" s="15" t="s">
        <v>13</v>
      </c>
      <c r="Q2" s="15" t="s">
        <v>14</v>
      </c>
    </row>
    <row r="3" spans="1:17" ht="9">
      <c r="A3" s="5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15</v>
      </c>
      <c r="C4" s="3">
        <v>2187</v>
      </c>
      <c r="D4" s="3">
        <v>192</v>
      </c>
      <c r="E4" s="3">
        <v>69</v>
      </c>
      <c r="F4" s="3">
        <v>53</v>
      </c>
      <c r="G4" s="3">
        <v>179</v>
      </c>
      <c r="H4" s="3">
        <v>152</v>
      </c>
      <c r="I4" s="3">
        <v>81</v>
      </c>
      <c r="J4" s="3">
        <v>922</v>
      </c>
      <c r="K4" s="3">
        <v>112</v>
      </c>
      <c r="L4" s="3">
        <v>175</v>
      </c>
      <c r="M4" s="3">
        <v>194</v>
      </c>
      <c r="N4" s="3">
        <v>60</v>
      </c>
      <c r="O4" s="3">
        <v>11</v>
      </c>
      <c r="P4" s="3">
        <v>11</v>
      </c>
      <c r="Q4" s="3">
        <v>1</v>
      </c>
    </row>
    <row r="5" spans="2:17" ht="9">
      <c r="B5" s="9" t="s">
        <v>16</v>
      </c>
      <c r="C5" s="3">
        <v>23174</v>
      </c>
      <c r="D5" s="3">
        <v>1083</v>
      </c>
      <c r="E5" s="3">
        <v>276</v>
      </c>
      <c r="F5" s="3">
        <v>304</v>
      </c>
      <c r="G5" s="3">
        <v>897</v>
      </c>
      <c r="H5" s="3">
        <v>876</v>
      </c>
      <c r="I5" s="3">
        <v>366</v>
      </c>
      <c r="J5" s="3">
        <v>6541</v>
      </c>
      <c r="K5" s="3">
        <v>620</v>
      </c>
      <c r="L5" s="3">
        <v>1093</v>
      </c>
      <c r="M5" s="3">
        <v>1245</v>
      </c>
      <c r="N5" s="3">
        <v>438</v>
      </c>
      <c r="O5" s="3">
        <v>204</v>
      </c>
      <c r="P5" s="3">
        <v>192</v>
      </c>
      <c r="Q5" s="3">
        <v>85</v>
      </c>
    </row>
    <row r="6" spans="2:17" ht="9">
      <c r="B6" s="9" t="s">
        <v>17</v>
      </c>
      <c r="C6" s="3">
        <v>6572</v>
      </c>
      <c r="D6" s="3">
        <v>291</v>
      </c>
      <c r="E6" s="3">
        <v>157</v>
      </c>
      <c r="F6" s="3">
        <v>81</v>
      </c>
      <c r="G6" s="3">
        <v>545</v>
      </c>
      <c r="H6" s="3">
        <v>220</v>
      </c>
      <c r="I6" s="3">
        <v>156</v>
      </c>
      <c r="J6" s="3">
        <v>2457</v>
      </c>
      <c r="K6" s="3">
        <v>439</v>
      </c>
      <c r="L6" s="3">
        <v>536</v>
      </c>
      <c r="M6" s="3">
        <v>433</v>
      </c>
      <c r="N6" s="3">
        <v>113</v>
      </c>
      <c r="O6" s="3">
        <v>35</v>
      </c>
      <c r="P6" s="3">
        <v>42</v>
      </c>
      <c r="Q6" s="3">
        <v>11</v>
      </c>
    </row>
    <row r="7" spans="2:17" ht="9">
      <c r="B7" s="9" t="s">
        <v>18</v>
      </c>
      <c r="C7" s="3">
        <v>13034</v>
      </c>
      <c r="D7" s="3">
        <v>415</v>
      </c>
      <c r="E7" s="3">
        <v>126</v>
      </c>
      <c r="F7" s="3">
        <v>108</v>
      </c>
      <c r="G7" s="3">
        <v>534</v>
      </c>
      <c r="H7" s="3">
        <v>238</v>
      </c>
      <c r="I7" s="3">
        <v>169</v>
      </c>
      <c r="J7" s="3">
        <v>3164</v>
      </c>
      <c r="K7" s="3">
        <v>460</v>
      </c>
      <c r="L7" s="3">
        <v>364</v>
      </c>
      <c r="M7" s="3">
        <v>963</v>
      </c>
      <c r="N7" s="3">
        <v>154</v>
      </c>
      <c r="O7" s="3">
        <v>92</v>
      </c>
      <c r="P7" s="3">
        <v>64</v>
      </c>
      <c r="Q7" s="3">
        <v>48</v>
      </c>
    </row>
    <row r="8" spans="2:17" ht="9">
      <c r="B8" s="9" t="s">
        <v>19</v>
      </c>
      <c r="C8" s="3">
        <v>16053</v>
      </c>
      <c r="D8" s="3">
        <v>426</v>
      </c>
      <c r="E8" s="3">
        <v>191</v>
      </c>
      <c r="F8" s="3">
        <v>175</v>
      </c>
      <c r="G8" s="3">
        <v>1058</v>
      </c>
      <c r="H8" s="3">
        <v>318</v>
      </c>
      <c r="I8" s="3">
        <v>632</v>
      </c>
      <c r="J8" s="3">
        <v>5430</v>
      </c>
      <c r="K8" s="3">
        <v>764</v>
      </c>
      <c r="L8" s="3">
        <v>1546</v>
      </c>
      <c r="M8" s="3">
        <v>397</v>
      </c>
      <c r="N8" s="3">
        <v>212</v>
      </c>
      <c r="O8" s="3">
        <v>57</v>
      </c>
      <c r="P8" s="3">
        <v>87</v>
      </c>
      <c r="Q8" s="3">
        <v>15</v>
      </c>
    </row>
    <row r="9" spans="2:17" ht="9">
      <c r="B9" s="9" t="s">
        <v>20</v>
      </c>
      <c r="C9" s="3">
        <v>10396</v>
      </c>
      <c r="D9" s="3">
        <v>350</v>
      </c>
      <c r="E9" s="3">
        <v>121</v>
      </c>
      <c r="F9" s="3">
        <v>114</v>
      </c>
      <c r="G9" s="3">
        <v>530</v>
      </c>
      <c r="H9" s="3">
        <v>297</v>
      </c>
      <c r="I9" s="3">
        <v>164</v>
      </c>
      <c r="J9" s="3">
        <v>3054</v>
      </c>
      <c r="K9" s="3">
        <v>492</v>
      </c>
      <c r="L9" s="3">
        <v>940</v>
      </c>
      <c r="M9" s="3">
        <v>569</v>
      </c>
      <c r="N9" s="3">
        <v>122</v>
      </c>
      <c r="O9" s="3">
        <v>40</v>
      </c>
      <c r="P9" s="3">
        <v>57</v>
      </c>
      <c r="Q9" s="3">
        <v>19</v>
      </c>
    </row>
    <row r="10" spans="2:17" ht="9">
      <c r="B10" s="9" t="s">
        <v>21</v>
      </c>
      <c r="C10" s="3">
        <v>19438</v>
      </c>
      <c r="D10" s="3">
        <v>315</v>
      </c>
      <c r="E10" s="3">
        <v>139</v>
      </c>
      <c r="F10" s="3">
        <v>121</v>
      </c>
      <c r="G10" s="3">
        <v>1739</v>
      </c>
      <c r="H10" s="3">
        <v>155</v>
      </c>
      <c r="I10" s="3">
        <v>267</v>
      </c>
      <c r="J10" s="3">
        <v>5738</v>
      </c>
      <c r="K10" s="3">
        <v>599</v>
      </c>
      <c r="L10" s="3">
        <v>743</v>
      </c>
      <c r="M10" s="3">
        <v>330</v>
      </c>
      <c r="N10" s="3">
        <v>194</v>
      </c>
      <c r="O10" s="3">
        <v>45</v>
      </c>
      <c r="P10" s="3">
        <v>62</v>
      </c>
      <c r="Q10" s="3">
        <v>40</v>
      </c>
    </row>
    <row r="11" spans="1:17" ht="9">
      <c r="A11" s="4" t="s">
        <v>23</v>
      </c>
      <c r="C11" s="3">
        <v>90854</v>
      </c>
      <c r="D11" s="3">
        <v>3072</v>
      </c>
      <c r="E11" s="3">
        <v>1079</v>
      </c>
      <c r="F11" s="3">
        <v>956</v>
      </c>
      <c r="G11" s="3">
        <v>5482</v>
      </c>
      <c r="H11" s="3">
        <v>2256</v>
      </c>
      <c r="I11" s="3">
        <v>1835</v>
      </c>
      <c r="J11" s="3">
        <v>27306</v>
      </c>
      <c r="K11" s="3">
        <v>3486</v>
      </c>
      <c r="L11" s="3">
        <v>5397</v>
      </c>
      <c r="M11" s="3">
        <v>4131</v>
      </c>
      <c r="N11" s="3">
        <v>1293</v>
      </c>
      <c r="O11" s="3">
        <v>484</v>
      </c>
      <c r="P11" s="3">
        <v>515</v>
      </c>
      <c r="Q11" s="3">
        <v>219</v>
      </c>
    </row>
    <row r="12" spans="2:17" s="6" customFormat="1" ht="9">
      <c r="B12" s="10" t="s">
        <v>127</v>
      </c>
      <c r="C12" s="7">
        <f>C11/90854</f>
        <v>1</v>
      </c>
      <c r="D12" s="7">
        <f aca="true" t="shared" si="0" ref="D12:M12">D11/55000</f>
        <v>0.055854545454545455</v>
      </c>
      <c r="E12" s="7">
        <f t="shared" si="0"/>
        <v>0.01961818181818182</v>
      </c>
      <c r="F12" s="7">
        <f t="shared" si="0"/>
        <v>0.017381818181818182</v>
      </c>
      <c r="G12" s="7">
        <f t="shared" si="0"/>
        <v>0.09967272727272727</v>
      </c>
      <c r="H12" s="7">
        <f t="shared" si="0"/>
        <v>0.041018181818181815</v>
      </c>
      <c r="I12" s="7">
        <f t="shared" si="0"/>
        <v>0.033363636363636366</v>
      </c>
      <c r="J12" s="7">
        <f t="shared" si="0"/>
        <v>0.4964727272727273</v>
      </c>
      <c r="K12" s="7">
        <f t="shared" si="0"/>
        <v>0.06338181818181818</v>
      </c>
      <c r="L12" s="7">
        <f t="shared" si="0"/>
        <v>0.09812727272727273</v>
      </c>
      <c r="M12" s="7">
        <f t="shared" si="0"/>
        <v>0.0751090909090909</v>
      </c>
      <c r="N12" s="7">
        <f>N11/1293</f>
        <v>1</v>
      </c>
      <c r="O12" s="7">
        <f>O11/999</f>
        <v>0.4844844844844845</v>
      </c>
      <c r="P12" s="7">
        <f>P11/999</f>
        <v>0.5155155155155156</v>
      </c>
      <c r="Q12" s="7">
        <f>Q11/219</f>
        <v>1</v>
      </c>
    </row>
    <row r="13" spans="2:17" ht="4.5" customHeight="1"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9">
      <c r="A14" s="5" t="s">
        <v>33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9">
      <c r="B15" s="9" t="s">
        <v>24</v>
      </c>
      <c r="C15" s="3">
        <v>15630</v>
      </c>
      <c r="D15" s="3">
        <v>732</v>
      </c>
      <c r="E15" s="3">
        <v>220</v>
      </c>
      <c r="F15" s="3">
        <v>274</v>
      </c>
      <c r="G15" s="3">
        <v>3098</v>
      </c>
      <c r="H15" s="3">
        <v>271</v>
      </c>
      <c r="I15" s="3">
        <v>511</v>
      </c>
      <c r="J15" s="3">
        <v>10233</v>
      </c>
      <c r="K15" s="3">
        <v>1241</v>
      </c>
      <c r="L15" s="3">
        <v>1159</v>
      </c>
      <c r="M15" s="3">
        <v>1313</v>
      </c>
      <c r="N15" s="3">
        <v>304</v>
      </c>
      <c r="O15" s="3">
        <v>104</v>
      </c>
      <c r="P15" s="3">
        <v>105</v>
      </c>
      <c r="Q15" s="3">
        <v>38</v>
      </c>
    </row>
    <row r="16" spans="2:17" ht="9">
      <c r="B16" s="9" t="s">
        <v>25</v>
      </c>
      <c r="C16" s="3">
        <v>1125</v>
      </c>
      <c r="D16" s="3">
        <v>84</v>
      </c>
      <c r="E16" s="3">
        <v>15</v>
      </c>
      <c r="F16" s="3">
        <v>12</v>
      </c>
      <c r="G16" s="3">
        <v>183</v>
      </c>
      <c r="H16" s="3">
        <v>39</v>
      </c>
      <c r="I16" s="3">
        <v>42</v>
      </c>
      <c r="J16" s="3">
        <v>1372</v>
      </c>
      <c r="K16" s="3">
        <v>92</v>
      </c>
      <c r="L16" s="3">
        <v>95</v>
      </c>
      <c r="M16" s="3">
        <v>54</v>
      </c>
      <c r="N16" s="3">
        <v>45</v>
      </c>
      <c r="O16" s="3">
        <v>5</v>
      </c>
      <c r="P16" s="3">
        <v>4</v>
      </c>
      <c r="Q16" s="3">
        <v>5</v>
      </c>
    </row>
    <row r="17" spans="2:17" ht="9">
      <c r="B17" s="9" t="s">
        <v>26</v>
      </c>
      <c r="C17" s="3">
        <v>1723</v>
      </c>
      <c r="D17" s="3">
        <v>186</v>
      </c>
      <c r="E17" s="3">
        <v>47</v>
      </c>
      <c r="F17" s="3">
        <v>38</v>
      </c>
      <c r="G17" s="3">
        <v>287</v>
      </c>
      <c r="H17" s="3">
        <v>47</v>
      </c>
      <c r="I17" s="3">
        <v>66</v>
      </c>
      <c r="J17" s="3">
        <v>1877</v>
      </c>
      <c r="K17" s="3">
        <v>146</v>
      </c>
      <c r="L17" s="3">
        <v>219</v>
      </c>
      <c r="M17" s="3">
        <v>119</v>
      </c>
      <c r="N17" s="3">
        <v>44</v>
      </c>
      <c r="O17" s="3">
        <v>5</v>
      </c>
      <c r="P17" s="3">
        <v>8</v>
      </c>
      <c r="Q17" s="3">
        <v>3</v>
      </c>
    </row>
    <row r="18" spans="2:17" ht="9">
      <c r="B18" s="9" t="s">
        <v>27</v>
      </c>
      <c r="C18" s="3">
        <v>13306</v>
      </c>
      <c r="D18" s="3">
        <v>1245</v>
      </c>
      <c r="E18" s="3">
        <v>279</v>
      </c>
      <c r="F18" s="3">
        <v>328</v>
      </c>
      <c r="G18" s="3">
        <v>3529</v>
      </c>
      <c r="H18" s="3">
        <v>433</v>
      </c>
      <c r="I18" s="3">
        <v>591</v>
      </c>
      <c r="J18" s="3">
        <v>9676</v>
      </c>
      <c r="K18" s="3">
        <v>1218</v>
      </c>
      <c r="L18" s="3">
        <v>1846</v>
      </c>
      <c r="M18" s="3">
        <v>1364</v>
      </c>
      <c r="N18" s="3">
        <v>315</v>
      </c>
      <c r="O18" s="3">
        <v>95</v>
      </c>
      <c r="P18" s="3">
        <v>77</v>
      </c>
      <c r="Q18" s="3">
        <v>21</v>
      </c>
    </row>
    <row r="19" spans="2:17" ht="9">
      <c r="B19" s="9" t="s">
        <v>28</v>
      </c>
      <c r="C19" s="3">
        <v>4429</v>
      </c>
      <c r="D19" s="3">
        <v>325</v>
      </c>
      <c r="E19" s="3">
        <v>59</v>
      </c>
      <c r="F19" s="3">
        <v>82</v>
      </c>
      <c r="G19" s="3">
        <v>441</v>
      </c>
      <c r="H19" s="3">
        <v>148</v>
      </c>
      <c r="I19" s="3">
        <v>126</v>
      </c>
      <c r="J19" s="3">
        <v>3207</v>
      </c>
      <c r="K19" s="3">
        <v>379</v>
      </c>
      <c r="L19" s="3">
        <v>407</v>
      </c>
      <c r="M19" s="3">
        <v>232</v>
      </c>
      <c r="N19" s="3">
        <v>104</v>
      </c>
      <c r="O19" s="3">
        <v>58</v>
      </c>
      <c r="P19" s="3">
        <v>31</v>
      </c>
      <c r="Q19" s="3">
        <v>3</v>
      </c>
    </row>
    <row r="20" spans="2:17" ht="9">
      <c r="B20" s="9" t="s">
        <v>29</v>
      </c>
      <c r="C20" s="3">
        <v>4885</v>
      </c>
      <c r="D20" s="3">
        <v>436</v>
      </c>
      <c r="E20" s="3">
        <v>133</v>
      </c>
      <c r="F20" s="3">
        <v>101</v>
      </c>
      <c r="G20" s="3">
        <v>1087</v>
      </c>
      <c r="H20" s="3">
        <v>340</v>
      </c>
      <c r="I20" s="3">
        <v>263</v>
      </c>
      <c r="J20" s="3">
        <v>5200</v>
      </c>
      <c r="K20" s="3">
        <v>641</v>
      </c>
      <c r="L20" s="3">
        <v>899</v>
      </c>
      <c r="M20" s="3">
        <v>424</v>
      </c>
      <c r="N20" s="3">
        <v>106</v>
      </c>
      <c r="O20" s="3">
        <v>34</v>
      </c>
      <c r="P20" s="3">
        <v>21</v>
      </c>
      <c r="Q20" s="3">
        <v>7</v>
      </c>
    </row>
    <row r="21" spans="2:17" ht="9">
      <c r="B21" s="9" t="s">
        <v>30</v>
      </c>
      <c r="C21" s="3">
        <v>4644</v>
      </c>
      <c r="D21" s="3">
        <v>372</v>
      </c>
      <c r="E21" s="3">
        <v>83</v>
      </c>
      <c r="F21" s="3">
        <v>91</v>
      </c>
      <c r="G21" s="3">
        <v>536</v>
      </c>
      <c r="H21" s="3">
        <v>97</v>
      </c>
      <c r="I21" s="3">
        <v>196</v>
      </c>
      <c r="J21" s="3">
        <v>3600</v>
      </c>
      <c r="K21" s="3">
        <v>494</v>
      </c>
      <c r="L21" s="3">
        <v>447</v>
      </c>
      <c r="M21" s="3">
        <v>362</v>
      </c>
      <c r="N21" s="3">
        <v>179</v>
      </c>
      <c r="O21" s="3">
        <v>36</v>
      </c>
      <c r="P21" s="3">
        <v>26</v>
      </c>
      <c r="Q21" s="3">
        <v>5</v>
      </c>
    </row>
    <row r="22" spans="2:17" ht="9">
      <c r="B22" s="9" t="s">
        <v>31</v>
      </c>
      <c r="C22" s="3">
        <v>1583</v>
      </c>
      <c r="D22" s="3">
        <v>144</v>
      </c>
      <c r="E22" s="3">
        <v>41</v>
      </c>
      <c r="F22" s="3">
        <v>28</v>
      </c>
      <c r="G22" s="3">
        <v>155</v>
      </c>
      <c r="H22" s="3">
        <v>82</v>
      </c>
      <c r="I22" s="3">
        <v>51</v>
      </c>
      <c r="J22" s="3">
        <v>744</v>
      </c>
      <c r="K22" s="3">
        <v>151</v>
      </c>
      <c r="L22" s="3">
        <v>97</v>
      </c>
      <c r="M22" s="3">
        <v>107</v>
      </c>
      <c r="N22" s="3">
        <v>50</v>
      </c>
      <c r="O22" s="3">
        <v>20</v>
      </c>
      <c r="P22" s="3">
        <v>14</v>
      </c>
      <c r="Q22" s="3">
        <v>8</v>
      </c>
    </row>
    <row r="23" spans="2:17" ht="9">
      <c r="B23" s="9" t="s">
        <v>21</v>
      </c>
      <c r="C23" s="3">
        <v>1939</v>
      </c>
      <c r="D23" s="3">
        <v>83</v>
      </c>
      <c r="E23" s="3">
        <v>31</v>
      </c>
      <c r="F23" s="3">
        <v>26</v>
      </c>
      <c r="G23" s="3">
        <v>354</v>
      </c>
      <c r="H23" s="3">
        <v>58</v>
      </c>
      <c r="I23" s="3">
        <v>34</v>
      </c>
      <c r="J23" s="3">
        <v>1958</v>
      </c>
      <c r="K23" s="3">
        <v>155</v>
      </c>
      <c r="L23" s="3">
        <v>189</v>
      </c>
      <c r="M23" s="3">
        <v>81</v>
      </c>
      <c r="N23" s="3">
        <v>41</v>
      </c>
      <c r="O23" s="3">
        <v>11</v>
      </c>
      <c r="P23" s="3">
        <v>4</v>
      </c>
      <c r="Q23" s="3">
        <v>5</v>
      </c>
    </row>
    <row r="24" spans="2:17" ht="9">
      <c r="B24" s="9" t="s">
        <v>32</v>
      </c>
      <c r="C24" s="3">
        <v>3265</v>
      </c>
      <c r="D24" s="3">
        <v>236</v>
      </c>
      <c r="E24" s="3">
        <v>84</v>
      </c>
      <c r="F24" s="3">
        <v>70</v>
      </c>
      <c r="G24" s="3">
        <v>614</v>
      </c>
      <c r="H24" s="3">
        <v>127</v>
      </c>
      <c r="I24" s="3">
        <v>136</v>
      </c>
      <c r="J24" s="3">
        <v>2613</v>
      </c>
      <c r="K24" s="3">
        <v>350</v>
      </c>
      <c r="L24" s="3">
        <v>389</v>
      </c>
      <c r="M24" s="3">
        <v>466</v>
      </c>
      <c r="N24" s="3">
        <v>96</v>
      </c>
      <c r="O24" s="3">
        <v>26</v>
      </c>
      <c r="P24" s="3">
        <v>27</v>
      </c>
      <c r="Q24" s="3">
        <v>11</v>
      </c>
    </row>
    <row r="25" spans="1:17" ht="9">
      <c r="A25" s="4" t="s">
        <v>23</v>
      </c>
      <c r="C25" s="3">
        <v>52529</v>
      </c>
      <c r="D25" s="3">
        <v>3843</v>
      </c>
      <c r="E25" s="3">
        <v>992</v>
      </c>
      <c r="F25" s="3">
        <v>1050</v>
      </c>
      <c r="G25" s="3">
        <v>10284</v>
      </c>
      <c r="H25" s="3">
        <v>1642</v>
      </c>
      <c r="I25" s="3">
        <v>2016</v>
      </c>
      <c r="J25" s="3">
        <v>40480</v>
      </c>
      <c r="K25" s="3">
        <v>4867</v>
      </c>
      <c r="L25" s="3">
        <v>5747</v>
      </c>
      <c r="M25" s="3">
        <v>4522</v>
      </c>
      <c r="N25" s="3">
        <v>1284</v>
      </c>
      <c r="O25" s="3">
        <v>394</v>
      </c>
      <c r="P25" s="3">
        <v>317</v>
      </c>
      <c r="Q25" s="3">
        <v>106</v>
      </c>
    </row>
    <row r="26" spans="2:17" s="6" customFormat="1" ht="9">
      <c r="B26" s="10" t="s">
        <v>127</v>
      </c>
      <c r="C26" s="7">
        <f>C25/52529</f>
        <v>1</v>
      </c>
      <c r="D26" s="7">
        <f aca="true" t="shared" si="1" ref="D26:M26">D25/75445</f>
        <v>0.05093776923586719</v>
      </c>
      <c r="E26" s="7">
        <f t="shared" si="1"/>
        <v>0.013148651335409902</v>
      </c>
      <c r="F26" s="7">
        <f t="shared" si="1"/>
        <v>0.013917423288488303</v>
      </c>
      <c r="G26" s="7">
        <f t="shared" si="1"/>
        <v>0.1363112200941083</v>
      </c>
      <c r="H26" s="7">
        <f t="shared" si="1"/>
        <v>0.02176419908542647</v>
      </c>
      <c r="I26" s="7">
        <f t="shared" si="1"/>
        <v>0.02672145271389754</v>
      </c>
      <c r="J26" s="7">
        <f t="shared" si="1"/>
        <v>0.5365498044933396</v>
      </c>
      <c r="K26" s="7">
        <f t="shared" si="1"/>
        <v>0.06451057061435483</v>
      </c>
      <c r="L26" s="7">
        <f t="shared" si="1"/>
        <v>0.07617469679899265</v>
      </c>
      <c r="M26" s="7">
        <f t="shared" si="1"/>
        <v>0.059937702962422956</v>
      </c>
      <c r="N26" s="7">
        <f>N25/1284</f>
        <v>1</v>
      </c>
      <c r="O26" s="7">
        <f>O25/711</f>
        <v>0.5541490857946554</v>
      </c>
      <c r="P26" s="7">
        <f>P25/711</f>
        <v>0.44585091420534456</v>
      </c>
      <c r="Q26" s="7">
        <f>Q25/106</f>
        <v>1</v>
      </c>
    </row>
    <row r="27" spans="2:17" ht="4.5" customHeight="1"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9">
      <c r="A28" s="5" t="s">
        <v>39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9">
      <c r="B29" s="9" t="s">
        <v>34</v>
      </c>
      <c r="C29" s="3">
        <v>168</v>
      </c>
      <c r="D29" s="3">
        <v>8</v>
      </c>
      <c r="E29" s="3">
        <v>5</v>
      </c>
      <c r="F29" s="3">
        <v>2</v>
      </c>
      <c r="G29" s="3">
        <v>13</v>
      </c>
      <c r="H29" s="3">
        <v>4</v>
      </c>
      <c r="I29" s="3">
        <v>4</v>
      </c>
      <c r="J29" s="3">
        <v>118</v>
      </c>
      <c r="K29" s="3">
        <v>14</v>
      </c>
      <c r="L29" s="3">
        <v>10</v>
      </c>
      <c r="M29" s="3">
        <v>17</v>
      </c>
      <c r="N29" s="3">
        <v>4</v>
      </c>
      <c r="O29" s="3">
        <v>0</v>
      </c>
      <c r="P29" s="3">
        <v>0</v>
      </c>
      <c r="Q29" s="3">
        <v>1</v>
      </c>
    </row>
    <row r="30" spans="2:17" ht="9">
      <c r="B30" s="9" t="s">
        <v>35</v>
      </c>
      <c r="C30" s="3">
        <v>4015</v>
      </c>
      <c r="D30" s="3">
        <v>181</v>
      </c>
      <c r="E30" s="3">
        <v>122</v>
      </c>
      <c r="F30" s="3">
        <v>64</v>
      </c>
      <c r="G30" s="3">
        <v>814</v>
      </c>
      <c r="H30" s="3">
        <v>129</v>
      </c>
      <c r="I30" s="3">
        <v>85</v>
      </c>
      <c r="J30" s="3">
        <v>3078</v>
      </c>
      <c r="K30" s="3">
        <v>324</v>
      </c>
      <c r="L30" s="3">
        <v>453</v>
      </c>
      <c r="M30" s="3">
        <v>223</v>
      </c>
      <c r="N30" s="3">
        <v>53</v>
      </c>
      <c r="O30" s="3">
        <v>27</v>
      </c>
      <c r="P30" s="3">
        <v>32</v>
      </c>
      <c r="Q30" s="3">
        <v>6</v>
      </c>
    </row>
    <row r="31" spans="2:17" ht="9">
      <c r="B31" s="9" t="s">
        <v>36</v>
      </c>
      <c r="C31" s="3">
        <v>5014</v>
      </c>
      <c r="D31" s="3">
        <v>228</v>
      </c>
      <c r="E31" s="3">
        <v>109</v>
      </c>
      <c r="F31" s="3">
        <v>126</v>
      </c>
      <c r="G31" s="3">
        <v>789</v>
      </c>
      <c r="H31" s="3">
        <v>116</v>
      </c>
      <c r="I31" s="3">
        <v>182</v>
      </c>
      <c r="J31" s="3">
        <v>3936</v>
      </c>
      <c r="K31" s="3">
        <v>534</v>
      </c>
      <c r="L31" s="3">
        <v>631</v>
      </c>
      <c r="M31" s="3">
        <v>215</v>
      </c>
      <c r="N31" s="3">
        <v>117</v>
      </c>
      <c r="O31" s="3">
        <v>88</v>
      </c>
      <c r="P31" s="3">
        <v>65</v>
      </c>
      <c r="Q31" s="3">
        <v>11</v>
      </c>
    </row>
    <row r="32" spans="2:17" ht="9">
      <c r="B32" s="9" t="s">
        <v>37</v>
      </c>
      <c r="C32" s="3">
        <v>50028</v>
      </c>
      <c r="D32" s="3">
        <v>1414</v>
      </c>
      <c r="E32" s="3">
        <v>793</v>
      </c>
      <c r="F32" s="3">
        <v>747</v>
      </c>
      <c r="G32" s="3">
        <v>11648</v>
      </c>
      <c r="H32" s="3">
        <v>896</v>
      </c>
      <c r="I32" s="3">
        <v>1108</v>
      </c>
      <c r="J32" s="3">
        <v>36843</v>
      </c>
      <c r="K32" s="3">
        <v>4382</v>
      </c>
      <c r="L32" s="3">
        <v>6264</v>
      </c>
      <c r="M32" s="3">
        <v>2366</v>
      </c>
      <c r="N32" s="3">
        <v>637</v>
      </c>
      <c r="O32" s="3">
        <v>222</v>
      </c>
      <c r="P32" s="3">
        <v>249</v>
      </c>
      <c r="Q32" s="3">
        <v>77</v>
      </c>
    </row>
    <row r="33" spans="2:17" ht="9">
      <c r="B33" s="9" t="s">
        <v>38</v>
      </c>
      <c r="C33" s="3">
        <v>1407</v>
      </c>
      <c r="D33" s="3">
        <v>68</v>
      </c>
      <c r="E33" s="3">
        <v>24</v>
      </c>
      <c r="F33" s="3">
        <v>14</v>
      </c>
      <c r="G33" s="3">
        <v>258</v>
      </c>
      <c r="H33" s="3">
        <v>28</v>
      </c>
      <c r="I33" s="3">
        <v>35</v>
      </c>
      <c r="J33" s="3">
        <v>982</v>
      </c>
      <c r="K33" s="3">
        <v>81</v>
      </c>
      <c r="L33" s="3">
        <v>199</v>
      </c>
      <c r="M33" s="3">
        <v>43</v>
      </c>
      <c r="N33" s="3">
        <v>16</v>
      </c>
      <c r="O33" s="3">
        <v>7</v>
      </c>
      <c r="P33" s="3">
        <v>3</v>
      </c>
      <c r="Q33" s="3">
        <v>2</v>
      </c>
    </row>
    <row r="34" spans="1:17" ht="9">
      <c r="A34" s="4" t="s">
        <v>23</v>
      </c>
      <c r="C34" s="3">
        <v>60632</v>
      </c>
      <c r="D34" s="3">
        <v>1899</v>
      </c>
      <c r="E34" s="3">
        <v>1053</v>
      </c>
      <c r="F34" s="3">
        <v>953</v>
      </c>
      <c r="G34" s="3">
        <v>13522</v>
      </c>
      <c r="H34" s="3">
        <v>1173</v>
      </c>
      <c r="I34" s="3">
        <v>1414</v>
      </c>
      <c r="J34" s="3">
        <v>44957</v>
      </c>
      <c r="K34" s="3">
        <v>5335</v>
      </c>
      <c r="L34" s="3">
        <v>7557</v>
      </c>
      <c r="M34" s="3">
        <v>2864</v>
      </c>
      <c r="N34" s="3">
        <v>827</v>
      </c>
      <c r="O34" s="3">
        <v>344</v>
      </c>
      <c r="P34" s="3">
        <v>349</v>
      </c>
      <c r="Q34" s="3">
        <v>97</v>
      </c>
    </row>
    <row r="35" spans="2:17" s="6" customFormat="1" ht="9">
      <c r="B35" s="10" t="s">
        <v>127</v>
      </c>
      <c r="C35" s="7">
        <f>C34/60632</f>
        <v>1</v>
      </c>
      <c r="D35" s="7">
        <f aca="true" t="shared" si="2" ref="D35:M35">D34/80727</f>
        <v>0.02352372812070311</v>
      </c>
      <c r="E35" s="7">
        <f t="shared" si="2"/>
        <v>0.01304396298636144</v>
      </c>
      <c r="F35" s="7">
        <f t="shared" si="2"/>
        <v>0.011805220062680392</v>
      </c>
      <c r="G35" s="7">
        <f t="shared" si="2"/>
        <v>0.1675028181401514</v>
      </c>
      <c r="H35" s="7">
        <f t="shared" si="2"/>
        <v>0.014530454494778699</v>
      </c>
      <c r="I35" s="7">
        <f t="shared" si="2"/>
        <v>0.017515824940850026</v>
      </c>
      <c r="J35" s="7">
        <f t="shared" si="2"/>
        <v>0.556901656199289</v>
      </c>
      <c r="K35" s="7">
        <f t="shared" si="2"/>
        <v>0.06608693497838393</v>
      </c>
      <c r="L35" s="7">
        <f t="shared" si="2"/>
        <v>0.09361180274257683</v>
      </c>
      <c r="M35" s="7">
        <f t="shared" si="2"/>
        <v>0.03547759733422523</v>
      </c>
      <c r="N35" s="7">
        <f>N34/827</f>
        <v>1</v>
      </c>
      <c r="O35" s="7">
        <f>O34/693</f>
        <v>0.4963924963924964</v>
      </c>
      <c r="P35" s="7">
        <f>P34/693</f>
        <v>0.5036075036075036</v>
      </c>
      <c r="Q35" s="7">
        <f>Q34/97</f>
        <v>1</v>
      </c>
    </row>
    <row r="36" spans="2:17" ht="4.5" customHeight="1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9">
      <c r="A37" s="5" t="s">
        <v>47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9">
      <c r="B38" s="9" t="s">
        <v>24</v>
      </c>
      <c r="C38" s="3">
        <v>3673</v>
      </c>
      <c r="D38" s="3">
        <v>258</v>
      </c>
      <c r="E38" s="3">
        <v>82</v>
      </c>
      <c r="F38" s="3">
        <v>85</v>
      </c>
      <c r="G38" s="3">
        <v>877</v>
      </c>
      <c r="H38" s="3">
        <v>110</v>
      </c>
      <c r="I38" s="3">
        <v>154</v>
      </c>
      <c r="J38" s="3">
        <v>2566</v>
      </c>
      <c r="K38" s="3">
        <v>458</v>
      </c>
      <c r="L38" s="3">
        <v>324</v>
      </c>
      <c r="M38" s="3">
        <v>365</v>
      </c>
      <c r="N38" s="3">
        <v>106</v>
      </c>
      <c r="O38" s="3">
        <v>29</v>
      </c>
      <c r="P38" s="3">
        <v>25</v>
      </c>
      <c r="Q38" s="3">
        <v>8</v>
      </c>
    </row>
    <row r="39" spans="2:17" ht="9">
      <c r="B39" s="9" t="s">
        <v>40</v>
      </c>
      <c r="C39" s="3">
        <v>14877</v>
      </c>
      <c r="D39" s="3">
        <v>698</v>
      </c>
      <c r="E39" s="3">
        <v>400</v>
      </c>
      <c r="F39" s="3">
        <v>301</v>
      </c>
      <c r="G39" s="3">
        <v>3562</v>
      </c>
      <c r="H39" s="3">
        <v>388</v>
      </c>
      <c r="I39" s="3">
        <v>540</v>
      </c>
      <c r="J39" s="3">
        <v>12801</v>
      </c>
      <c r="K39" s="3">
        <v>2095</v>
      </c>
      <c r="L39" s="3">
        <v>2129</v>
      </c>
      <c r="M39" s="3">
        <v>1088</v>
      </c>
      <c r="N39" s="3">
        <v>305</v>
      </c>
      <c r="O39" s="3">
        <v>128</v>
      </c>
      <c r="P39" s="3">
        <v>91</v>
      </c>
      <c r="Q39" s="3">
        <v>28</v>
      </c>
    </row>
    <row r="40" spans="2:17" ht="9">
      <c r="B40" s="9" t="s">
        <v>41</v>
      </c>
      <c r="C40" s="3">
        <v>2055</v>
      </c>
      <c r="D40" s="3">
        <v>169</v>
      </c>
      <c r="E40" s="3">
        <v>42</v>
      </c>
      <c r="F40" s="3">
        <v>66</v>
      </c>
      <c r="G40" s="3">
        <v>242</v>
      </c>
      <c r="H40" s="3">
        <v>59</v>
      </c>
      <c r="I40" s="3">
        <v>92</v>
      </c>
      <c r="J40" s="3">
        <v>1754</v>
      </c>
      <c r="K40" s="3">
        <v>295</v>
      </c>
      <c r="L40" s="3">
        <v>172</v>
      </c>
      <c r="M40" s="3">
        <v>349</v>
      </c>
      <c r="N40" s="3">
        <v>66</v>
      </c>
      <c r="O40" s="3">
        <v>7</v>
      </c>
      <c r="P40" s="3">
        <v>17</v>
      </c>
      <c r="Q40" s="3">
        <v>3</v>
      </c>
    </row>
    <row r="41" spans="2:17" ht="9">
      <c r="B41" s="9" t="s">
        <v>42</v>
      </c>
      <c r="C41" s="3">
        <v>866</v>
      </c>
      <c r="D41" s="3">
        <v>93</v>
      </c>
      <c r="E41" s="3">
        <v>26</v>
      </c>
      <c r="F41" s="3">
        <v>14</v>
      </c>
      <c r="G41" s="3">
        <v>108</v>
      </c>
      <c r="H41" s="3">
        <v>37</v>
      </c>
      <c r="I41" s="3">
        <v>41</v>
      </c>
      <c r="J41" s="3">
        <v>948</v>
      </c>
      <c r="K41" s="3">
        <v>125</v>
      </c>
      <c r="L41" s="3">
        <v>102</v>
      </c>
      <c r="M41" s="3">
        <v>69</v>
      </c>
      <c r="N41" s="3">
        <v>37</v>
      </c>
      <c r="O41" s="3">
        <v>9</v>
      </c>
      <c r="P41" s="3">
        <v>6</v>
      </c>
      <c r="Q41" s="3">
        <v>0</v>
      </c>
    </row>
    <row r="42" spans="2:17" ht="9">
      <c r="B42" s="9" t="s">
        <v>43</v>
      </c>
      <c r="C42" s="3">
        <v>11688</v>
      </c>
      <c r="D42" s="3">
        <v>478</v>
      </c>
      <c r="E42" s="3">
        <v>208</v>
      </c>
      <c r="F42" s="3">
        <v>153</v>
      </c>
      <c r="G42" s="3">
        <v>1877</v>
      </c>
      <c r="H42" s="3">
        <v>756</v>
      </c>
      <c r="I42" s="3">
        <v>299</v>
      </c>
      <c r="J42" s="3">
        <v>8086</v>
      </c>
      <c r="K42" s="3">
        <v>1106</v>
      </c>
      <c r="L42" s="3">
        <v>1197</v>
      </c>
      <c r="M42" s="3">
        <v>943</v>
      </c>
      <c r="N42" s="3">
        <v>213</v>
      </c>
      <c r="O42" s="3">
        <v>88</v>
      </c>
      <c r="P42" s="3">
        <v>106</v>
      </c>
      <c r="Q42" s="3">
        <v>22</v>
      </c>
    </row>
    <row r="43" spans="2:17" ht="9">
      <c r="B43" s="9" t="s">
        <v>44</v>
      </c>
      <c r="C43" s="3">
        <v>28074</v>
      </c>
      <c r="D43" s="3">
        <v>1134</v>
      </c>
      <c r="E43" s="3">
        <v>489</v>
      </c>
      <c r="F43" s="3">
        <v>489</v>
      </c>
      <c r="G43" s="3">
        <v>7610</v>
      </c>
      <c r="H43" s="3">
        <v>720</v>
      </c>
      <c r="I43" s="3">
        <v>792</v>
      </c>
      <c r="J43" s="3">
        <v>24165</v>
      </c>
      <c r="K43" s="3">
        <v>3566</v>
      </c>
      <c r="L43" s="3">
        <v>4588</v>
      </c>
      <c r="M43" s="3">
        <v>2490</v>
      </c>
      <c r="N43" s="3">
        <v>390</v>
      </c>
      <c r="O43" s="3">
        <v>140</v>
      </c>
      <c r="P43" s="3">
        <v>150</v>
      </c>
      <c r="Q43" s="3">
        <v>28</v>
      </c>
    </row>
    <row r="44" spans="2:17" ht="9">
      <c r="B44" s="9" t="s">
        <v>45</v>
      </c>
      <c r="C44" s="3">
        <v>2318</v>
      </c>
      <c r="D44" s="3">
        <v>141</v>
      </c>
      <c r="E44" s="3">
        <v>42</v>
      </c>
      <c r="F44" s="3">
        <v>42</v>
      </c>
      <c r="G44" s="3">
        <v>281</v>
      </c>
      <c r="H44" s="3">
        <v>62</v>
      </c>
      <c r="I44" s="3">
        <v>86</v>
      </c>
      <c r="J44" s="3">
        <v>1742</v>
      </c>
      <c r="K44" s="3">
        <v>250</v>
      </c>
      <c r="L44" s="3">
        <v>200</v>
      </c>
      <c r="M44" s="3">
        <v>241</v>
      </c>
      <c r="N44" s="3">
        <v>49</v>
      </c>
      <c r="O44" s="3">
        <v>13</v>
      </c>
      <c r="P44" s="3">
        <v>20</v>
      </c>
      <c r="Q44" s="3">
        <v>3</v>
      </c>
    </row>
    <row r="45" spans="2:17" ht="9">
      <c r="B45" s="9" t="s">
        <v>37</v>
      </c>
      <c r="C45" s="3">
        <v>2398</v>
      </c>
      <c r="D45" s="3">
        <v>97</v>
      </c>
      <c r="E45" s="3">
        <v>41</v>
      </c>
      <c r="F45" s="3">
        <v>50</v>
      </c>
      <c r="G45" s="3">
        <v>726</v>
      </c>
      <c r="H45" s="3">
        <v>38</v>
      </c>
      <c r="I45" s="3">
        <v>64</v>
      </c>
      <c r="J45" s="3">
        <v>2083</v>
      </c>
      <c r="K45" s="3">
        <v>241</v>
      </c>
      <c r="L45" s="3">
        <v>524</v>
      </c>
      <c r="M45" s="3">
        <v>126</v>
      </c>
      <c r="N45" s="3">
        <v>27</v>
      </c>
      <c r="O45" s="3">
        <v>17</v>
      </c>
      <c r="P45" s="3">
        <v>16</v>
      </c>
      <c r="Q45" s="3">
        <v>4</v>
      </c>
    </row>
    <row r="46" spans="2:17" ht="9">
      <c r="B46" s="9" t="s">
        <v>46</v>
      </c>
      <c r="C46" s="3">
        <v>397</v>
      </c>
      <c r="D46" s="3">
        <v>33</v>
      </c>
      <c r="E46" s="3">
        <v>9</v>
      </c>
      <c r="F46" s="3">
        <v>5</v>
      </c>
      <c r="G46" s="3">
        <v>47</v>
      </c>
      <c r="H46" s="3">
        <v>20</v>
      </c>
      <c r="I46" s="3">
        <v>13</v>
      </c>
      <c r="J46" s="3">
        <v>340</v>
      </c>
      <c r="K46" s="3">
        <v>46</v>
      </c>
      <c r="L46" s="3">
        <v>25</v>
      </c>
      <c r="M46" s="3">
        <v>49</v>
      </c>
      <c r="N46" s="3">
        <v>10</v>
      </c>
      <c r="O46" s="3">
        <v>7</v>
      </c>
      <c r="P46" s="3">
        <v>9</v>
      </c>
      <c r="Q46" s="3">
        <v>3</v>
      </c>
    </row>
    <row r="47" spans="1:17" ht="9">
      <c r="A47" s="4" t="s">
        <v>23</v>
      </c>
      <c r="C47" s="3">
        <v>66346</v>
      </c>
      <c r="D47" s="3">
        <v>3101</v>
      </c>
      <c r="E47" s="3">
        <v>1339</v>
      </c>
      <c r="F47" s="3">
        <v>1205</v>
      </c>
      <c r="G47" s="3">
        <v>15330</v>
      </c>
      <c r="H47" s="3">
        <v>2190</v>
      </c>
      <c r="I47" s="3">
        <v>2081</v>
      </c>
      <c r="J47" s="3">
        <v>54485</v>
      </c>
      <c r="K47" s="3">
        <v>8182</v>
      </c>
      <c r="L47" s="3">
        <v>9261</v>
      </c>
      <c r="M47" s="3">
        <v>5720</v>
      </c>
      <c r="N47" s="3">
        <v>1203</v>
      </c>
      <c r="O47" s="3">
        <v>438</v>
      </c>
      <c r="P47" s="3">
        <v>440</v>
      </c>
      <c r="Q47" s="3">
        <v>99</v>
      </c>
    </row>
    <row r="48" spans="2:17" s="6" customFormat="1" ht="9">
      <c r="B48" s="10" t="s">
        <v>127</v>
      </c>
      <c r="C48" s="7">
        <f>C47/66346</f>
        <v>1</v>
      </c>
      <c r="D48" s="7">
        <f aca="true" t="shared" si="3" ref="D48:M48">D47/102895</f>
        <v>0.030137518829875115</v>
      </c>
      <c r="E48" s="7">
        <f t="shared" si="3"/>
        <v>0.01301326595072647</v>
      </c>
      <c r="F48" s="7">
        <f t="shared" si="3"/>
        <v>0.011710967491131737</v>
      </c>
      <c r="G48" s="7">
        <f t="shared" si="3"/>
        <v>0.14898683123572573</v>
      </c>
      <c r="H48" s="7">
        <f t="shared" si="3"/>
        <v>0.021283833033675106</v>
      </c>
      <c r="I48" s="7">
        <f t="shared" si="3"/>
        <v>0.02022450070460178</v>
      </c>
      <c r="J48" s="7">
        <f t="shared" si="3"/>
        <v>0.5295203848583507</v>
      </c>
      <c r="K48" s="7">
        <f t="shared" si="3"/>
        <v>0.07951795519704553</v>
      </c>
      <c r="L48" s="7">
        <f t="shared" si="3"/>
        <v>0.09000437339034939</v>
      </c>
      <c r="M48" s="7">
        <f t="shared" si="3"/>
        <v>0.05559065066329753</v>
      </c>
      <c r="N48" s="7">
        <f>N47/1203</f>
        <v>1</v>
      </c>
      <c r="O48" s="7">
        <f>O47/878</f>
        <v>0.4988610478359909</v>
      </c>
      <c r="P48" s="7">
        <f>P47/878</f>
        <v>0.5011389521640092</v>
      </c>
      <c r="Q48" s="7">
        <f>Q47/99</f>
        <v>1</v>
      </c>
    </row>
    <row r="49" spans="2:17" ht="4.5" customHeight="1"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9">
      <c r="A50" s="5" t="s">
        <v>48</v>
      </c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9">
      <c r="B51" s="9" t="s">
        <v>37</v>
      </c>
      <c r="C51" s="3">
        <v>61810</v>
      </c>
      <c r="D51" s="3">
        <v>807</v>
      </c>
      <c r="E51" s="3">
        <v>437</v>
      </c>
      <c r="F51" s="3">
        <v>439</v>
      </c>
      <c r="G51" s="3">
        <v>4957</v>
      </c>
      <c r="H51" s="3">
        <v>466</v>
      </c>
      <c r="I51" s="3">
        <v>563</v>
      </c>
      <c r="J51" s="3">
        <v>18130</v>
      </c>
      <c r="K51" s="3">
        <v>2121</v>
      </c>
      <c r="L51" s="3">
        <v>2892</v>
      </c>
      <c r="M51" s="3">
        <v>1233</v>
      </c>
      <c r="N51" s="3">
        <v>537</v>
      </c>
      <c r="O51" s="3">
        <v>160</v>
      </c>
      <c r="P51" s="3">
        <v>221</v>
      </c>
      <c r="Q51" s="3">
        <v>212</v>
      </c>
    </row>
    <row r="52" spans="1:17" ht="9">
      <c r="A52" s="4" t="s">
        <v>23</v>
      </c>
      <c r="C52" s="3">
        <v>61810</v>
      </c>
      <c r="D52" s="3">
        <v>807</v>
      </c>
      <c r="E52" s="3">
        <v>437</v>
      </c>
      <c r="F52" s="3">
        <v>439</v>
      </c>
      <c r="G52" s="3">
        <v>4957</v>
      </c>
      <c r="H52" s="3">
        <v>466</v>
      </c>
      <c r="I52" s="3">
        <v>563</v>
      </c>
      <c r="J52" s="3">
        <v>18130</v>
      </c>
      <c r="K52" s="3">
        <v>2121</v>
      </c>
      <c r="L52" s="3">
        <v>2892</v>
      </c>
      <c r="M52" s="3">
        <v>1233</v>
      </c>
      <c r="N52" s="3">
        <v>537</v>
      </c>
      <c r="O52" s="3">
        <v>160</v>
      </c>
      <c r="P52" s="3">
        <v>221</v>
      </c>
      <c r="Q52" s="3">
        <v>212</v>
      </c>
    </row>
    <row r="53" spans="2:17" s="6" customFormat="1" ht="9">
      <c r="B53" s="10" t="s">
        <v>127</v>
      </c>
      <c r="C53" s="7">
        <f>C52/61810</f>
        <v>1</v>
      </c>
      <c r="D53" s="7">
        <f aca="true" t="shared" si="4" ref="D53:M53">D52/32045</f>
        <v>0.025183335933843032</v>
      </c>
      <c r="E53" s="7">
        <f t="shared" si="4"/>
        <v>0.013637072866281791</v>
      </c>
      <c r="F53" s="7">
        <f t="shared" si="4"/>
        <v>0.013699485099079419</v>
      </c>
      <c r="G53" s="7">
        <f t="shared" si="4"/>
        <v>0.15468871898892184</v>
      </c>
      <c r="H53" s="7">
        <f t="shared" si="4"/>
        <v>0.014542050241847402</v>
      </c>
      <c r="I53" s="7">
        <f t="shared" si="4"/>
        <v>0.017569043532532375</v>
      </c>
      <c r="J53" s="7">
        <f t="shared" si="4"/>
        <v>0.5657668903105009</v>
      </c>
      <c r="K53" s="7">
        <f t="shared" si="4"/>
        <v>0.06618817288188485</v>
      </c>
      <c r="L53" s="7">
        <f t="shared" si="4"/>
        <v>0.09024808862537058</v>
      </c>
      <c r="M53" s="7">
        <f t="shared" si="4"/>
        <v>0.03847714151973787</v>
      </c>
      <c r="N53" s="7">
        <f>N52/537</f>
        <v>1</v>
      </c>
      <c r="O53" s="7">
        <f>O52/381</f>
        <v>0.4199475065616798</v>
      </c>
      <c r="P53" s="7">
        <f>P52/381</f>
        <v>0.5800524934383202</v>
      </c>
      <c r="Q53" s="7">
        <f>Q52/212</f>
        <v>1</v>
      </c>
    </row>
    <row r="54" spans="2:17" ht="4.5" customHeight="1"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9">
      <c r="A55" s="5" t="s">
        <v>50</v>
      </c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9">
      <c r="B56" s="9" t="s">
        <v>49</v>
      </c>
      <c r="C56" s="3">
        <v>45638</v>
      </c>
      <c r="D56" s="3">
        <v>506</v>
      </c>
      <c r="E56" s="3">
        <v>232</v>
      </c>
      <c r="F56" s="3">
        <v>305</v>
      </c>
      <c r="G56" s="3">
        <v>2175</v>
      </c>
      <c r="H56" s="3">
        <v>486</v>
      </c>
      <c r="I56" s="3">
        <v>459</v>
      </c>
      <c r="J56" s="3">
        <v>9185</v>
      </c>
      <c r="K56" s="3">
        <v>1178</v>
      </c>
      <c r="L56" s="3">
        <v>2455</v>
      </c>
      <c r="M56" s="3">
        <v>649</v>
      </c>
      <c r="N56" s="3">
        <v>258</v>
      </c>
      <c r="O56" s="3">
        <v>140</v>
      </c>
      <c r="P56" s="3">
        <v>159</v>
      </c>
      <c r="Q56" s="3">
        <v>62</v>
      </c>
    </row>
    <row r="57" spans="2:17" ht="9">
      <c r="B57" s="9" t="s">
        <v>20</v>
      </c>
      <c r="C57" s="3">
        <v>62724</v>
      </c>
      <c r="D57" s="3">
        <v>1143</v>
      </c>
      <c r="E57" s="3">
        <v>615</v>
      </c>
      <c r="F57" s="3">
        <v>704</v>
      </c>
      <c r="G57" s="3">
        <v>3297</v>
      </c>
      <c r="H57" s="3">
        <v>890</v>
      </c>
      <c r="I57" s="3">
        <v>1309</v>
      </c>
      <c r="J57" s="3">
        <v>14732</v>
      </c>
      <c r="K57" s="3">
        <v>1986</v>
      </c>
      <c r="L57" s="3">
        <v>4278</v>
      </c>
      <c r="M57" s="3">
        <v>2019</v>
      </c>
      <c r="N57" s="3">
        <v>642</v>
      </c>
      <c r="O57" s="3">
        <v>273</v>
      </c>
      <c r="P57" s="3">
        <v>318</v>
      </c>
      <c r="Q57" s="3">
        <v>186</v>
      </c>
    </row>
    <row r="58" spans="1:17" ht="9">
      <c r="A58" s="4" t="s">
        <v>23</v>
      </c>
      <c r="C58" s="3">
        <v>108362</v>
      </c>
      <c r="D58" s="3">
        <v>1649</v>
      </c>
      <c r="E58" s="3">
        <v>847</v>
      </c>
      <c r="F58" s="3">
        <v>1009</v>
      </c>
      <c r="G58" s="3">
        <v>5472</v>
      </c>
      <c r="H58" s="3">
        <v>1376</v>
      </c>
      <c r="I58" s="3">
        <v>1768</v>
      </c>
      <c r="J58" s="3">
        <v>23917</v>
      </c>
      <c r="K58" s="3">
        <v>3164</v>
      </c>
      <c r="L58" s="3">
        <v>6733</v>
      </c>
      <c r="M58" s="3">
        <v>2668</v>
      </c>
      <c r="N58" s="3">
        <v>900</v>
      </c>
      <c r="O58" s="3">
        <v>413</v>
      </c>
      <c r="P58" s="3">
        <v>477</v>
      </c>
      <c r="Q58" s="3">
        <v>248</v>
      </c>
    </row>
    <row r="59" spans="2:17" s="6" customFormat="1" ht="9">
      <c r="B59" s="10" t="s">
        <v>127</v>
      </c>
      <c r="C59" s="7">
        <f>C58/108362</f>
        <v>1</v>
      </c>
      <c r="D59" s="7">
        <f aca="true" t="shared" si="5" ref="D59:M59">D58/48603</f>
        <v>0.033927946834557535</v>
      </c>
      <c r="E59" s="7">
        <f t="shared" si="5"/>
        <v>0.017426907804045016</v>
      </c>
      <c r="F59" s="7">
        <f t="shared" si="5"/>
        <v>0.020760035388762012</v>
      </c>
      <c r="G59" s="7">
        <f t="shared" si="5"/>
        <v>0.11258564286155176</v>
      </c>
      <c r="H59" s="7">
        <f t="shared" si="5"/>
        <v>0.028311009608460384</v>
      </c>
      <c r="I59" s="7">
        <f t="shared" si="5"/>
        <v>0.03637635536901014</v>
      </c>
      <c r="J59" s="7">
        <f t="shared" si="5"/>
        <v>0.4920889657017057</v>
      </c>
      <c r="K59" s="7">
        <f t="shared" si="5"/>
        <v>0.06509886221015164</v>
      </c>
      <c r="L59" s="7">
        <f t="shared" si="5"/>
        <v>0.13853054338209575</v>
      </c>
      <c r="M59" s="7">
        <f t="shared" si="5"/>
        <v>0.0548937308396601</v>
      </c>
      <c r="N59" s="7">
        <f>N58/900</f>
        <v>1</v>
      </c>
      <c r="O59" s="7">
        <f>O58/890</f>
        <v>0.4640449438202247</v>
      </c>
      <c r="P59" s="7">
        <f>P58/890</f>
        <v>0.5359550561797752</v>
      </c>
      <c r="Q59" s="7">
        <f>Q58/248</f>
        <v>1</v>
      </c>
    </row>
    <row r="60" spans="2:17" ht="4.5" customHeight="1"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9">
      <c r="A61" s="5" t="s">
        <v>52</v>
      </c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">
      <c r="B62" s="9" t="s">
        <v>51</v>
      </c>
      <c r="C62" s="3">
        <v>46888</v>
      </c>
      <c r="D62" s="3">
        <v>626</v>
      </c>
      <c r="E62" s="3">
        <v>277</v>
      </c>
      <c r="F62" s="3">
        <v>298</v>
      </c>
      <c r="G62" s="3">
        <v>1901</v>
      </c>
      <c r="H62" s="3">
        <v>595</v>
      </c>
      <c r="I62" s="3">
        <v>456</v>
      </c>
      <c r="J62" s="3">
        <v>6564</v>
      </c>
      <c r="K62" s="3">
        <v>1293</v>
      </c>
      <c r="L62" s="3">
        <v>2486</v>
      </c>
      <c r="M62" s="3">
        <v>1115</v>
      </c>
      <c r="N62" s="3">
        <v>402</v>
      </c>
      <c r="O62" s="3">
        <v>119</v>
      </c>
      <c r="P62" s="3">
        <v>167</v>
      </c>
      <c r="Q62" s="3">
        <v>89</v>
      </c>
    </row>
    <row r="63" spans="2:17" ht="9">
      <c r="B63" s="9" t="s">
        <v>38</v>
      </c>
      <c r="C63" s="3">
        <v>23974</v>
      </c>
      <c r="D63" s="3">
        <v>413</v>
      </c>
      <c r="E63" s="3">
        <v>223</v>
      </c>
      <c r="F63" s="3">
        <v>156</v>
      </c>
      <c r="G63" s="3">
        <v>2219</v>
      </c>
      <c r="H63" s="3">
        <v>374</v>
      </c>
      <c r="I63" s="3">
        <v>595</v>
      </c>
      <c r="J63" s="3">
        <v>6118</v>
      </c>
      <c r="K63" s="3">
        <v>809</v>
      </c>
      <c r="L63" s="3">
        <v>1770</v>
      </c>
      <c r="M63" s="3">
        <v>583</v>
      </c>
      <c r="N63" s="3">
        <v>281</v>
      </c>
      <c r="O63" s="3">
        <v>70</v>
      </c>
      <c r="P63" s="3">
        <v>76</v>
      </c>
      <c r="Q63" s="3">
        <v>26</v>
      </c>
    </row>
    <row r="64" spans="1:17" ht="9">
      <c r="A64" s="4" t="s">
        <v>23</v>
      </c>
      <c r="C64" s="3">
        <v>70862</v>
      </c>
      <c r="D64" s="3">
        <v>1039</v>
      </c>
      <c r="E64" s="3">
        <v>500</v>
      </c>
      <c r="F64" s="3">
        <v>454</v>
      </c>
      <c r="G64" s="3">
        <v>4120</v>
      </c>
      <c r="H64" s="3">
        <v>969</v>
      </c>
      <c r="I64" s="3">
        <v>1051</v>
      </c>
      <c r="J64" s="3">
        <v>12682</v>
      </c>
      <c r="K64" s="3">
        <v>2102</v>
      </c>
      <c r="L64" s="3">
        <v>4256</v>
      </c>
      <c r="M64" s="3">
        <v>1698</v>
      </c>
      <c r="N64" s="3">
        <v>683</v>
      </c>
      <c r="O64" s="3">
        <v>189</v>
      </c>
      <c r="P64" s="3">
        <v>243</v>
      </c>
      <c r="Q64" s="3">
        <v>115</v>
      </c>
    </row>
    <row r="65" spans="2:17" s="6" customFormat="1" ht="9">
      <c r="B65" s="10" t="s">
        <v>127</v>
      </c>
      <c r="C65" s="7">
        <f>C64/70862</f>
        <v>1</v>
      </c>
      <c r="D65" s="7">
        <f aca="true" t="shared" si="6" ref="D65:M65">D64/28871</f>
        <v>0.03598766928752035</v>
      </c>
      <c r="E65" s="7">
        <f t="shared" si="6"/>
        <v>0.017318416404004017</v>
      </c>
      <c r="F65" s="7">
        <f t="shared" si="6"/>
        <v>0.015725122094835647</v>
      </c>
      <c r="G65" s="7">
        <f t="shared" si="6"/>
        <v>0.14270375116899311</v>
      </c>
      <c r="H65" s="7">
        <f t="shared" si="6"/>
        <v>0.03356309099095978</v>
      </c>
      <c r="I65" s="7">
        <f t="shared" si="6"/>
        <v>0.03640331128121645</v>
      </c>
      <c r="J65" s="7">
        <f t="shared" si="6"/>
        <v>0.4392643136711579</v>
      </c>
      <c r="K65" s="7">
        <f t="shared" si="6"/>
        <v>0.0728066225624329</v>
      </c>
      <c r="L65" s="7">
        <f t="shared" si="6"/>
        <v>0.1474143604308822</v>
      </c>
      <c r="M65" s="7">
        <f t="shared" si="6"/>
        <v>0.05881334210799764</v>
      </c>
      <c r="N65" s="7">
        <f>N64/683</f>
        <v>1</v>
      </c>
      <c r="O65" s="7">
        <f>O64/432</f>
        <v>0.4375</v>
      </c>
      <c r="P65" s="7">
        <f>P64/432</f>
        <v>0.5625</v>
      </c>
      <c r="Q65" s="7">
        <f>Q64/115</f>
        <v>1</v>
      </c>
    </row>
    <row r="66" spans="2:17" ht="4.5" customHeight="1"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9">
      <c r="A67" s="5" t="s">
        <v>54</v>
      </c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9">
      <c r="B68" s="9" t="s">
        <v>53</v>
      </c>
      <c r="C68" s="3">
        <v>96543</v>
      </c>
      <c r="D68" s="3">
        <v>515</v>
      </c>
      <c r="E68" s="3">
        <v>165</v>
      </c>
      <c r="F68" s="3">
        <v>242</v>
      </c>
      <c r="G68" s="3">
        <v>1869</v>
      </c>
      <c r="H68" s="3">
        <v>231</v>
      </c>
      <c r="I68" s="3">
        <v>350</v>
      </c>
      <c r="J68" s="3">
        <v>5999</v>
      </c>
      <c r="K68" s="3">
        <v>1088</v>
      </c>
      <c r="L68" s="3">
        <v>1643</v>
      </c>
      <c r="M68" s="3">
        <v>1342</v>
      </c>
      <c r="N68" s="3">
        <v>829</v>
      </c>
      <c r="O68" s="3">
        <v>241</v>
      </c>
      <c r="P68" s="3">
        <v>330</v>
      </c>
      <c r="Q68" s="3">
        <v>294</v>
      </c>
    </row>
    <row r="69" spans="1:17" ht="9">
      <c r="A69" s="4" t="s">
        <v>23</v>
      </c>
      <c r="C69" s="3">
        <v>96543</v>
      </c>
      <c r="D69" s="3">
        <v>515</v>
      </c>
      <c r="E69" s="3">
        <v>165</v>
      </c>
      <c r="F69" s="3">
        <v>242</v>
      </c>
      <c r="G69" s="3">
        <v>1869</v>
      </c>
      <c r="H69" s="3">
        <v>231</v>
      </c>
      <c r="I69" s="3">
        <v>350</v>
      </c>
      <c r="J69" s="3">
        <v>5999</v>
      </c>
      <c r="K69" s="3">
        <v>1088</v>
      </c>
      <c r="L69" s="3">
        <v>1643</v>
      </c>
      <c r="M69" s="3">
        <v>1342</v>
      </c>
      <c r="N69" s="3">
        <v>829</v>
      </c>
      <c r="O69" s="3">
        <v>241</v>
      </c>
      <c r="P69" s="3">
        <v>330</v>
      </c>
      <c r="Q69" s="3">
        <v>294</v>
      </c>
    </row>
    <row r="70" spans="2:17" s="6" customFormat="1" ht="9">
      <c r="B70" s="10" t="s">
        <v>127</v>
      </c>
      <c r="C70" s="7">
        <f>C69/96543</f>
        <v>1</v>
      </c>
      <c r="D70" s="7">
        <f aca="true" t="shared" si="7" ref="D70:M70">D69/13444</f>
        <v>0.03830705147277596</v>
      </c>
      <c r="E70" s="7">
        <f t="shared" si="7"/>
        <v>0.012273132996132103</v>
      </c>
      <c r="F70" s="7">
        <f t="shared" si="7"/>
        <v>0.018000595060993753</v>
      </c>
      <c r="G70" s="7">
        <f t="shared" si="7"/>
        <v>0.1390211246652782</v>
      </c>
      <c r="H70" s="7">
        <f t="shared" si="7"/>
        <v>0.017182386194584946</v>
      </c>
      <c r="I70" s="7">
        <f t="shared" si="7"/>
        <v>0.026033918476643856</v>
      </c>
      <c r="J70" s="7">
        <f t="shared" si="7"/>
        <v>0.4462213626896757</v>
      </c>
      <c r="K70" s="7">
        <f t="shared" si="7"/>
        <v>0.0809282951502529</v>
      </c>
      <c r="L70" s="7">
        <f t="shared" si="7"/>
        <v>0.12221065159178816</v>
      </c>
      <c r="M70" s="7">
        <f t="shared" si="7"/>
        <v>0.09982148170187444</v>
      </c>
      <c r="N70" s="7">
        <f>N69/829</f>
        <v>1</v>
      </c>
      <c r="O70" s="7">
        <f>O69/571</f>
        <v>0.4220665499124343</v>
      </c>
      <c r="P70" s="7">
        <f>P69/571</f>
        <v>0.5779334500875657</v>
      </c>
      <c r="Q70" s="7">
        <f>Q69/294</f>
        <v>1</v>
      </c>
    </row>
    <row r="71" spans="2:17" ht="4.5" customHeight="1"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9">
      <c r="A72" s="5" t="s">
        <v>56</v>
      </c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9">
      <c r="B73" s="9" t="s">
        <v>55</v>
      </c>
      <c r="C73" s="3">
        <v>106750</v>
      </c>
      <c r="D73" s="3">
        <v>430</v>
      </c>
      <c r="E73" s="3">
        <v>269</v>
      </c>
      <c r="F73" s="3">
        <v>303</v>
      </c>
      <c r="G73" s="3">
        <v>1846</v>
      </c>
      <c r="H73" s="3">
        <v>352</v>
      </c>
      <c r="I73" s="3">
        <v>518</v>
      </c>
      <c r="J73" s="3">
        <v>6586</v>
      </c>
      <c r="K73" s="3">
        <v>1040</v>
      </c>
      <c r="L73" s="3">
        <v>2236</v>
      </c>
      <c r="M73" s="3">
        <v>740</v>
      </c>
      <c r="N73" s="3">
        <v>351</v>
      </c>
      <c r="O73" s="3">
        <v>179</v>
      </c>
      <c r="P73" s="3">
        <v>259</v>
      </c>
      <c r="Q73" s="3">
        <v>268</v>
      </c>
    </row>
    <row r="74" spans="1:17" ht="9">
      <c r="A74" s="4" t="s">
        <v>23</v>
      </c>
      <c r="C74" s="3">
        <v>106750</v>
      </c>
      <c r="D74" s="3">
        <v>430</v>
      </c>
      <c r="E74" s="3">
        <v>269</v>
      </c>
      <c r="F74" s="3">
        <v>303</v>
      </c>
      <c r="G74" s="3">
        <v>1846</v>
      </c>
      <c r="H74" s="3">
        <v>352</v>
      </c>
      <c r="I74" s="3">
        <v>518</v>
      </c>
      <c r="J74" s="3">
        <v>6586</v>
      </c>
      <c r="K74" s="3">
        <v>1040</v>
      </c>
      <c r="L74" s="3">
        <v>2236</v>
      </c>
      <c r="M74" s="3">
        <v>740</v>
      </c>
      <c r="N74" s="3">
        <v>351</v>
      </c>
      <c r="O74" s="3">
        <v>179</v>
      </c>
      <c r="P74" s="3">
        <v>259</v>
      </c>
      <c r="Q74" s="3">
        <v>268</v>
      </c>
    </row>
    <row r="75" spans="2:17" s="6" customFormat="1" ht="9">
      <c r="B75" s="10" t="s">
        <v>127</v>
      </c>
      <c r="C75" s="7">
        <f>C74/106750</f>
        <v>1</v>
      </c>
      <c r="D75" s="7">
        <f aca="true" t="shared" si="8" ref="D75:M75">D74/14320</f>
        <v>0.030027932960893854</v>
      </c>
      <c r="E75" s="7">
        <f t="shared" si="8"/>
        <v>0.01878491620111732</v>
      </c>
      <c r="F75" s="7">
        <f t="shared" si="8"/>
        <v>0.02115921787709497</v>
      </c>
      <c r="G75" s="7">
        <f t="shared" si="8"/>
        <v>0.12891061452513966</v>
      </c>
      <c r="H75" s="7">
        <f t="shared" si="8"/>
        <v>0.024581005586592177</v>
      </c>
      <c r="I75" s="7">
        <f t="shared" si="8"/>
        <v>0.036173184357541896</v>
      </c>
      <c r="J75" s="7">
        <f t="shared" si="8"/>
        <v>0.45991620111731846</v>
      </c>
      <c r="K75" s="7">
        <f t="shared" si="8"/>
        <v>0.07262569832402235</v>
      </c>
      <c r="L75" s="7">
        <f t="shared" si="8"/>
        <v>0.15614525139664803</v>
      </c>
      <c r="M75" s="7">
        <f t="shared" si="8"/>
        <v>0.051675977653631286</v>
      </c>
      <c r="N75" s="7">
        <f>N74/351</f>
        <v>1</v>
      </c>
      <c r="O75" s="7">
        <f>O74/438</f>
        <v>0.408675799086758</v>
      </c>
      <c r="P75" s="7">
        <f>P74/438</f>
        <v>0.591324200913242</v>
      </c>
      <c r="Q75" s="7">
        <f>Q74/268</f>
        <v>1</v>
      </c>
    </row>
    <row r="76" spans="2:17" ht="4.5" customHeight="1"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9">
      <c r="A77" s="5" t="s">
        <v>57</v>
      </c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9">
      <c r="B78" s="9" t="s">
        <v>55</v>
      </c>
      <c r="C78" s="3">
        <v>6973</v>
      </c>
      <c r="D78" s="3">
        <v>222</v>
      </c>
      <c r="E78" s="3">
        <v>113</v>
      </c>
      <c r="F78" s="3">
        <v>152</v>
      </c>
      <c r="G78" s="3">
        <v>580</v>
      </c>
      <c r="H78" s="3">
        <v>139</v>
      </c>
      <c r="I78" s="3">
        <v>320</v>
      </c>
      <c r="J78" s="3">
        <v>2841</v>
      </c>
      <c r="K78" s="3">
        <v>575</v>
      </c>
      <c r="L78" s="3">
        <v>1500</v>
      </c>
      <c r="M78" s="3">
        <v>298</v>
      </c>
      <c r="N78" s="3">
        <v>76</v>
      </c>
      <c r="O78" s="3">
        <v>30</v>
      </c>
      <c r="P78" s="3">
        <v>42</v>
      </c>
      <c r="Q78" s="3">
        <v>4</v>
      </c>
    </row>
    <row r="79" spans="2:17" ht="9">
      <c r="B79" s="9" t="s">
        <v>51</v>
      </c>
      <c r="C79" s="3">
        <v>58338</v>
      </c>
      <c r="D79" s="3">
        <v>1095</v>
      </c>
      <c r="E79" s="3">
        <v>544</v>
      </c>
      <c r="F79" s="3">
        <v>647</v>
      </c>
      <c r="G79" s="3">
        <v>4174</v>
      </c>
      <c r="H79" s="3">
        <v>928</v>
      </c>
      <c r="I79" s="3">
        <v>1019</v>
      </c>
      <c r="J79" s="3">
        <v>19029</v>
      </c>
      <c r="K79" s="3">
        <v>3150</v>
      </c>
      <c r="L79" s="3">
        <v>6531</v>
      </c>
      <c r="M79" s="3">
        <v>1918</v>
      </c>
      <c r="N79" s="3">
        <v>440</v>
      </c>
      <c r="O79" s="3">
        <v>174</v>
      </c>
      <c r="P79" s="3">
        <v>258</v>
      </c>
      <c r="Q79" s="3">
        <v>74</v>
      </c>
    </row>
    <row r="80" spans="2:17" ht="9">
      <c r="B80" s="9" t="s">
        <v>37</v>
      </c>
      <c r="C80" s="3">
        <v>323</v>
      </c>
      <c r="D80" s="3">
        <v>6</v>
      </c>
      <c r="E80" s="3">
        <v>5</v>
      </c>
      <c r="F80" s="3">
        <v>3</v>
      </c>
      <c r="G80" s="3">
        <v>24</v>
      </c>
      <c r="H80" s="3">
        <v>5</v>
      </c>
      <c r="I80" s="3">
        <v>3</v>
      </c>
      <c r="J80" s="3">
        <v>153</v>
      </c>
      <c r="K80" s="3">
        <v>26</v>
      </c>
      <c r="L80" s="3">
        <v>40</v>
      </c>
      <c r="M80" s="3">
        <v>8</v>
      </c>
      <c r="N80" s="3">
        <v>5</v>
      </c>
      <c r="O80" s="3">
        <v>4</v>
      </c>
      <c r="P80" s="3">
        <v>2</v>
      </c>
      <c r="Q80" s="3">
        <v>0</v>
      </c>
    </row>
    <row r="81" spans="2:17" ht="9">
      <c r="B81" s="9" t="s">
        <v>38</v>
      </c>
      <c r="C81" s="3">
        <v>10792</v>
      </c>
      <c r="D81" s="3">
        <v>243</v>
      </c>
      <c r="E81" s="3">
        <v>129</v>
      </c>
      <c r="F81" s="3">
        <v>100</v>
      </c>
      <c r="G81" s="3">
        <v>1548</v>
      </c>
      <c r="H81" s="3">
        <v>197</v>
      </c>
      <c r="I81" s="3">
        <v>239</v>
      </c>
      <c r="J81" s="3">
        <v>3848</v>
      </c>
      <c r="K81" s="3">
        <v>430</v>
      </c>
      <c r="L81" s="3">
        <v>1049</v>
      </c>
      <c r="M81" s="3">
        <v>354</v>
      </c>
      <c r="N81" s="3">
        <v>120</v>
      </c>
      <c r="O81" s="3">
        <v>51</v>
      </c>
      <c r="P81" s="3">
        <v>51</v>
      </c>
      <c r="Q81" s="3">
        <v>11</v>
      </c>
    </row>
    <row r="82" spans="1:17" ht="9">
      <c r="A82" s="4" t="s">
        <v>23</v>
      </c>
      <c r="C82" s="3">
        <v>76426</v>
      </c>
      <c r="D82" s="3">
        <v>1566</v>
      </c>
      <c r="E82" s="3">
        <v>791</v>
      </c>
      <c r="F82" s="3">
        <v>902</v>
      </c>
      <c r="G82" s="3">
        <v>6326</v>
      </c>
      <c r="H82" s="3">
        <v>1269</v>
      </c>
      <c r="I82" s="3">
        <v>1581</v>
      </c>
      <c r="J82" s="3">
        <v>25871</v>
      </c>
      <c r="K82" s="3">
        <v>4181</v>
      </c>
      <c r="L82" s="3">
        <v>9120</v>
      </c>
      <c r="M82" s="3">
        <v>2578</v>
      </c>
      <c r="N82" s="3">
        <v>641</v>
      </c>
      <c r="O82" s="3">
        <v>259</v>
      </c>
      <c r="P82" s="3">
        <v>353</v>
      </c>
      <c r="Q82" s="3">
        <v>89</v>
      </c>
    </row>
    <row r="83" spans="2:17" s="6" customFormat="1" ht="9">
      <c r="B83" s="10" t="s">
        <v>127</v>
      </c>
      <c r="C83" s="7">
        <f>C82/76426</f>
        <v>1</v>
      </c>
      <c r="D83" s="7">
        <f aca="true" t="shared" si="9" ref="D83:M83">D82/54185</f>
        <v>0.028900987358124942</v>
      </c>
      <c r="E83" s="7">
        <f t="shared" si="9"/>
        <v>0.014598136015502446</v>
      </c>
      <c r="F83" s="7">
        <f t="shared" si="9"/>
        <v>0.01664667343360709</v>
      </c>
      <c r="G83" s="7">
        <f t="shared" si="9"/>
        <v>0.11674817753990957</v>
      </c>
      <c r="H83" s="7">
        <f t="shared" si="9"/>
        <v>0.0234197656177909</v>
      </c>
      <c r="I83" s="7">
        <f t="shared" si="9"/>
        <v>0.029177816738949893</v>
      </c>
      <c r="J83" s="7">
        <f t="shared" si="9"/>
        <v>0.47745686075482147</v>
      </c>
      <c r="K83" s="7">
        <f t="shared" si="9"/>
        <v>0.07716157608194149</v>
      </c>
      <c r="L83" s="7">
        <f t="shared" si="9"/>
        <v>0.16831226354157056</v>
      </c>
      <c r="M83" s="7">
        <f t="shared" si="9"/>
        <v>0.047577742917781676</v>
      </c>
      <c r="N83" s="7">
        <f>N82/641</f>
        <v>1</v>
      </c>
      <c r="O83" s="7">
        <f>O82/612</f>
        <v>0.42320261437908496</v>
      </c>
      <c r="P83" s="7">
        <f>P82/612</f>
        <v>0.576797385620915</v>
      </c>
      <c r="Q83" s="7">
        <f>Q82/89</f>
        <v>1</v>
      </c>
    </row>
    <row r="84" spans="2:17" ht="4.5" customHeight="1"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9">
      <c r="A85" s="5" t="s">
        <v>60</v>
      </c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9">
      <c r="B86" s="9" t="s">
        <v>55</v>
      </c>
      <c r="C86" s="3">
        <v>8637</v>
      </c>
      <c r="D86" s="3">
        <v>259</v>
      </c>
      <c r="E86" s="3">
        <v>143</v>
      </c>
      <c r="F86" s="3">
        <v>106</v>
      </c>
      <c r="G86" s="3">
        <v>942</v>
      </c>
      <c r="H86" s="3">
        <v>211</v>
      </c>
      <c r="I86" s="3">
        <v>207</v>
      </c>
      <c r="J86" s="3">
        <v>3387</v>
      </c>
      <c r="K86" s="3">
        <v>597</v>
      </c>
      <c r="L86" s="3">
        <v>1379</v>
      </c>
      <c r="M86" s="3">
        <v>376</v>
      </c>
      <c r="N86" s="3">
        <v>66</v>
      </c>
      <c r="O86" s="3">
        <v>34</v>
      </c>
      <c r="P86" s="3">
        <v>48</v>
      </c>
      <c r="Q86" s="3">
        <v>3</v>
      </c>
    </row>
    <row r="87" spans="2:17" ht="9">
      <c r="B87" s="9" t="s">
        <v>51</v>
      </c>
      <c r="C87" s="3">
        <v>13773</v>
      </c>
      <c r="D87" s="3">
        <v>423</v>
      </c>
      <c r="E87" s="3">
        <v>250</v>
      </c>
      <c r="F87" s="3">
        <v>306</v>
      </c>
      <c r="G87" s="3">
        <v>1757</v>
      </c>
      <c r="H87" s="3">
        <v>305</v>
      </c>
      <c r="I87" s="3">
        <v>505</v>
      </c>
      <c r="J87" s="3">
        <v>7907</v>
      </c>
      <c r="K87" s="3">
        <v>1186</v>
      </c>
      <c r="L87" s="3">
        <v>3244</v>
      </c>
      <c r="M87" s="3">
        <v>640</v>
      </c>
      <c r="N87" s="3">
        <v>162</v>
      </c>
      <c r="O87" s="3">
        <v>52</v>
      </c>
      <c r="P87" s="3">
        <v>70</v>
      </c>
      <c r="Q87" s="3">
        <v>8</v>
      </c>
    </row>
    <row r="88" spans="2:17" ht="9">
      <c r="B88" s="9" t="s">
        <v>58</v>
      </c>
      <c r="C88" s="3">
        <v>27213</v>
      </c>
      <c r="D88" s="3">
        <v>1073</v>
      </c>
      <c r="E88" s="3">
        <v>732</v>
      </c>
      <c r="F88" s="3">
        <v>773</v>
      </c>
      <c r="G88" s="3">
        <v>3782</v>
      </c>
      <c r="H88" s="3">
        <v>1087</v>
      </c>
      <c r="I88" s="3">
        <v>1298</v>
      </c>
      <c r="J88" s="3">
        <v>19643</v>
      </c>
      <c r="K88" s="3">
        <v>1939</v>
      </c>
      <c r="L88" s="3">
        <v>3538</v>
      </c>
      <c r="M88" s="3">
        <v>1210</v>
      </c>
      <c r="N88" s="3">
        <v>333</v>
      </c>
      <c r="O88" s="3">
        <v>118</v>
      </c>
      <c r="P88" s="3">
        <v>98</v>
      </c>
      <c r="Q88" s="3">
        <v>30</v>
      </c>
    </row>
    <row r="89" spans="2:17" ht="9">
      <c r="B89" s="9" t="s">
        <v>59</v>
      </c>
      <c r="C89" s="3">
        <v>3458</v>
      </c>
      <c r="D89" s="3">
        <v>95</v>
      </c>
      <c r="E89" s="3">
        <v>55</v>
      </c>
      <c r="F89" s="3">
        <v>53</v>
      </c>
      <c r="G89" s="3">
        <v>482</v>
      </c>
      <c r="H89" s="3">
        <v>80</v>
      </c>
      <c r="I89" s="3">
        <v>179</v>
      </c>
      <c r="J89" s="3">
        <v>1500</v>
      </c>
      <c r="K89" s="3">
        <v>216</v>
      </c>
      <c r="L89" s="3">
        <v>571</v>
      </c>
      <c r="M89" s="3">
        <v>133</v>
      </c>
      <c r="N89" s="3">
        <v>55</v>
      </c>
      <c r="O89" s="3">
        <v>14</v>
      </c>
      <c r="P89" s="3">
        <v>16</v>
      </c>
      <c r="Q89" s="3">
        <v>4</v>
      </c>
    </row>
    <row r="90" spans="1:17" ht="9">
      <c r="A90" s="4" t="s">
        <v>23</v>
      </c>
      <c r="C90" s="3">
        <v>53081</v>
      </c>
      <c r="D90" s="3">
        <v>1850</v>
      </c>
      <c r="E90" s="3">
        <v>1180</v>
      </c>
      <c r="F90" s="3">
        <v>1238</v>
      </c>
      <c r="G90" s="3">
        <v>6963</v>
      </c>
      <c r="H90" s="3">
        <v>1683</v>
      </c>
      <c r="I90" s="3">
        <v>2189</v>
      </c>
      <c r="J90" s="3">
        <v>32437</v>
      </c>
      <c r="K90" s="3">
        <v>3938</v>
      </c>
      <c r="L90" s="3">
        <v>8732</v>
      </c>
      <c r="M90" s="3">
        <v>2359</v>
      </c>
      <c r="N90" s="3">
        <v>616</v>
      </c>
      <c r="O90" s="3">
        <v>218</v>
      </c>
      <c r="P90" s="3">
        <v>232</v>
      </c>
      <c r="Q90" s="3">
        <v>45</v>
      </c>
    </row>
    <row r="91" spans="2:17" s="6" customFormat="1" ht="9">
      <c r="B91" s="10" t="s">
        <v>127</v>
      </c>
      <c r="C91" s="7">
        <f>C90/53081</f>
        <v>1</v>
      </c>
      <c r="D91" s="7">
        <f aca="true" t="shared" si="10" ref="D91:M91">D90/62569</f>
        <v>0.029567357637168567</v>
      </c>
      <c r="E91" s="7">
        <f t="shared" si="10"/>
        <v>0.01885917946586968</v>
      </c>
      <c r="F91" s="7">
        <f t="shared" si="10"/>
        <v>0.019786156083683615</v>
      </c>
      <c r="G91" s="7">
        <f t="shared" si="10"/>
        <v>0.11128514120411066</v>
      </c>
      <c r="H91" s="7">
        <f t="shared" si="10"/>
        <v>0.02689830427208362</v>
      </c>
      <c r="I91" s="7">
        <f t="shared" si="10"/>
        <v>0.034985376144736215</v>
      </c>
      <c r="J91" s="7">
        <f t="shared" si="10"/>
        <v>0.5184196646901821</v>
      </c>
      <c r="K91" s="7">
        <f t="shared" si="10"/>
        <v>0.06293851587847017</v>
      </c>
      <c r="L91" s="7">
        <f t="shared" si="10"/>
        <v>0.13955792804743564</v>
      </c>
      <c r="M91" s="7">
        <f t="shared" si="10"/>
        <v>0.037702376576259806</v>
      </c>
      <c r="N91" s="7">
        <f>N90/616</f>
        <v>1</v>
      </c>
      <c r="O91" s="7">
        <f>O90/450</f>
        <v>0.48444444444444446</v>
      </c>
      <c r="P91" s="7">
        <f>P90/450</f>
        <v>0.5155555555555555</v>
      </c>
      <c r="Q91" s="7">
        <f>Q90/45</f>
        <v>1</v>
      </c>
    </row>
    <row r="92" spans="2:17" ht="4.5" customHeight="1">
      <c r="B92" s="1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9">
      <c r="A93" s="5" t="s">
        <v>62</v>
      </c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9">
      <c r="B94" s="9" t="s">
        <v>53</v>
      </c>
      <c r="C94" s="3">
        <v>22801</v>
      </c>
      <c r="D94" s="3">
        <v>236</v>
      </c>
      <c r="E94" s="3">
        <v>76</v>
      </c>
      <c r="F94" s="3">
        <v>80</v>
      </c>
      <c r="G94" s="3">
        <v>602</v>
      </c>
      <c r="H94" s="3">
        <v>93</v>
      </c>
      <c r="I94" s="3">
        <v>128</v>
      </c>
      <c r="J94" s="3">
        <v>2602</v>
      </c>
      <c r="K94" s="3">
        <v>376</v>
      </c>
      <c r="L94" s="3">
        <v>914</v>
      </c>
      <c r="M94" s="3">
        <v>430</v>
      </c>
      <c r="N94" s="3">
        <v>188</v>
      </c>
      <c r="O94" s="3">
        <v>47</v>
      </c>
      <c r="P94" s="3">
        <v>76</v>
      </c>
      <c r="Q94" s="3">
        <v>55</v>
      </c>
    </row>
    <row r="95" spans="2:17" ht="9">
      <c r="B95" s="9" t="s">
        <v>61</v>
      </c>
      <c r="C95" s="3">
        <v>58109</v>
      </c>
      <c r="D95" s="3">
        <v>883</v>
      </c>
      <c r="E95" s="3">
        <v>1073</v>
      </c>
      <c r="F95" s="3">
        <v>284</v>
      </c>
      <c r="G95" s="3">
        <v>2320</v>
      </c>
      <c r="H95" s="3">
        <v>747</v>
      </c>
      <c r="I95" s="3">
        <v>644</v>
      </c>
      <c r="J95" s="3">
        <v>12291</v>
      </c>
      <c r="K95" s="3">
        <v>1631</v>
      </c>
      <c r="L95" s="3">
        <v>3715</v>
      </c>
      <c r="M95" s="3">
        <v>1249</v>
      </c>
      <c r="N95" s="3">
        <v>372</v>
      </c>
      <c r="O95" s="3">
        <v>130</v>
      </c>
      <c r="P95" s="3">
        <v>187</v>
      </c>
      <c r="Q95" s="3">
        <v>60</v>
      </c>
    </row>
    <row r="96" spans="1:17" ht="9">
      <c r="A96" s="4" t="s">
        <v>23</v>
      </c>
      <c r="C96" s="3">
        <v>80910</v>
      </c>
      <c r="D96" s="3">
        <v>1119</v>
      </c>
      <c r="E96" s="3">
        <v>1149</v>
      </c>
      <c r="F96" s="3">
        <v>364</v>
      </c>
      <c r="G96" s="3">
        <v>2922</v>
      </c>
      <c r="H96" s="3">
        <v>840</v>
      </c>
      <c r="I96" s="3">
        <v>772</v>
      </c>
      <c r="J96" s="3">
        <v>14893</v>
      </c>
      <c r="K96" s="3">
        <v>2007</v>
      </c>
      <c r="L96" s="3">
        <v>4629</v>
      </c>
      <c r="M96" s="3">
        <v>1679</v>
      </c>
      <c r="N96" s="3">
        <v>560</v>
      </c>
      <c r="O96" s="3">
        <v>177</v>
      </c>
      <c r="P96" s="3">
        <v>263</v>
      </c>
      <c r="Q96" s="3">
        <v>115</v>
      </c>
    </row>
    <row r="97" spans="2:17" s="6" customFormat="1" ht="9">
      <c r="B97" s="10" t="s">
        <v>127</v>
      </c>
      <c r="C97" s="7">
        <f>C96/80910</f>
        <v>1</v>
      </c>
      <c r="D97" s="7">
        <f aca="true" t="shared" si="11" ref="D97:M97">D96/30374</f>
        <v>0.03684071903601765</v>
      </c>
      <c r="E97" s="7">
        <f t="shared" si="11"/>
        <v>0.037828405873444396</v>
      </c>
      <c r="F97" s="7">
        <f t="shared" si="11"/>
        <v>0.011983933627444526</v>
      </c>
      <c r="G97" s="7">
        <f t="shared" si="11"/>
        <v>0.09620069796536511</v>
      </c>
      <c r="H97" s="7">
        <f t="shared" si="11"/>
        <v>0.027655231447948903</v>
      </c>
      <c r="I97" s="7">
        <f t="shared" si="11"/>
        <v>0.02541647461644828</v>
      </c>
      <c r="J97" s="7">
        <f t="shared" si="11"/>
        <v>0.49032066899321786</v>
      </c>
      <c r="K97" s="7">
        <f t="shared" si="11"/>
        <v>0.06607624942384935</v>
      </c>
      <c r="L97" s="7">
        <f t="shared" si="11"/>
        <v>0.15240007901494698</v>
      </c>
      <c r="M97" s="7">
        <f t="shared" si="11"/>
        <v>0.05527754000131692</v>
      </c>
      <c r="N97" s="7">
        <f>N96/560</f>
        <v>1</v>
      </c>
      <c r="O97" s="7">
        <f>O96/440</f>
        <v>0.4022727272727273</v>
      </c>
      <c r="P97" s="7">
        <f>P96/440</f>
        <v>0.5977272727272728</v>
      </c>
      <c r="Q97" s="7">
        <f>Q96/115</f>
        <v>1</v>
      </c>
    </row>
    <row r="98" spans="2:17" ht="4.5" customHeight="1"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9">
      <c r="A99" s="5" t="s">
        <v>63</v>
      </c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9">
      <c r="B100" s="9" t="s">
        <v>55</v>
      </c>
      <c r="C100" s="3">
        <v>61715</v>
      </c>
      <c r="D100" s="3">
        <v>1081</v>
      </c>
      <c r="E100" s="3">
        <v>698</v>
      </c>
      <c r="F100" s="3">
        <v>452</v>
      </c>
      <c r="G100" s="3">
        <v>2819</v>
      </c>
      <c r="H100" s="3">
        <v>732</v>
      </c>
      <c r="I100" s="3">
        <v>867</v>
      </c>
      <c r="J100" s="3">
        <v>9133</v>
      </c>
      <c r="K100" s="3">
        <v>1736</v>
      </c>
      <c r="L100" s="3">
        <v>3911</v>
      </c>
      <c r="M100" s="3">
        <v>1534</v>
      </c>
      <c r="N100" s="3">
        <v>520</v>
      </c>
      <c r="O100" s="3">
        <v>198</v>
      </c>
      <c r="P100" s="3">
        <v>214</v>
      </c>
      <c r="Q100" s="3">
        <v>52</v>
      </c>
    </row>
    <row r="101" spans="1:17" ht="9">
      <c r="A101" s="4" t="s">
        <v>23</v>
      </c>
      <c r="C101" s="3">
        <v>61715</v>
      </c>
      <c r="D101" s="3">
        <v>1081</v>
      </c>
      <c r="E101" s="3">
        <v>698</v>
      </c>
      <c r="F101" s="3">
        <v>452</v>
      </c>
      <c r="G101" s="3">
        <v>2819</v>
      </c>
      <c r="H101" s="3">
        <v>732</v>
      </c>
      <c r="I101" s="3">
        <v>867</v>
      </c>
      <c r="J101" s="3">
        <v>9133</v>
      </c>
      <c r="K101" s="3">
        <v>1736</v>
      </c>
      <c r="L101" s="3">
        <v>3911</v>
      </c>
      <c r="M101" s="3">
        <v>1534</v>
      </c>
      <c r="N101" s="3">
        <v>520</v>
      </c>
      <c r="O101" s="3">
        <v>198</v>
      </c>
      <c r="P101" s="3">
        <v>214</v>
      </c>
      <c r="Q101" s="3">
        <v>52</v>
      </c>
    </row>
    <row r="102" spans="2:17" s="6" customFormat="1" ht="9">
      <c r="B102" s="10" t="s">
        <v>127</v>
      </c>
      <c r="C102" s="7">
        <f>C101/61715</f>
        <v>1</v>
      </c>
      <c r="D102" s="7">
        <f aca="true" t="shared" si="12" ref="D102:M102">D101/22963</f>
        <v>0.04707573052301529</v>
      </c>
      <c r="E102" s="7">
        <f t="shared" si="12"/>
        <v>0.03039672516657231</v>
      </c>
      <c r="F102" s="7">
        <f t="shared" si="12"/>
        <v>0.019683839219614162</v>
      </c>
      <c r="G102" s="7">
        <f t="shared" si="12"/>
        <v>0.1227627052214432</v>
      </c>
      <c r="H102" s="7">
        <f t="shared" si="12"/>
        <v>0.03187736793972913</v>
      </c>
      <c r="I102" s="7">
        <f t="shared" si="12"/>
        <v>0.03775639071549885</v>
      </c>
      <c r="J102" s="7">
        <f t="shared" si="12"/>
        <v>0.3977267778600357</v>
      </c>
      <c r="K102" s="7">
        <f t="shared" si="12"/>
        <v>0.0755998780647128</v>
      </c>
      <c r="L102" s="7">
        <f t="shared" si="12"/>
        <v>0.17031746722989158</v>
      </c>
      <c r="M102" s="7">
        <f t="shared" si="12"/>
        <v>0.06680311805948701</v>
      </c>
      <c r="N102" s="7">
        <f>N101/520</f>
        <v>1</v>
      </c>
      <c r="O102" s="7">
        <f>O101/412</f>
        <v>0.48058252427184467</v>
      </c>
      <c r="P102" s="7">
        <f>P101/412</f>
        <v>0.5194174757281553</v>
      </c>
      <c r="Q102" s="7">
        <f>Q101/52</f>
        <v>1</v>
      </c>
    </row>
    <row r="103" spans="2:17" ht="4.5" customHeight="1">
      <c r="B103" s="1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9">
      <c r="A104" s="5" t="s">
        <v>65</v>
      </c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9">
      <c r="B105" s="9" t="s">
        <v>61</v>
      </c>
      <c r="C105" s="3">
        <v>23808</v>
      </c>
      <c r="D105" s="3">
        <v>377</v>
      </c>
      <c r="E105" s="3">
        <v>564</v>
      </c>
      <c r="F105" s="3">
        <v>132</v>
      </c>
      <c r="G105" s="3">
        <v>1192</v>
      </c>
      <c r="H105" s="3">
        <v>409</v>
      </c>
      <c r="I105" s="3">
        <v>242</v>
      </c>
      <c r="J105" s="3">
        <v>5098</v>
      </c>
      <c r="K105" s="3">
        <v>1074</v>
      </c>
      <c r="L105" s="3">
        <v>1646</v>
      </c>
      <c r="M105" s="3">
        <v>421</v>
      </c>
      <c r="N105" s="3">
        <v>149</v>
      </c>
      <c r="O105" s="3">
        <v>73</v>
      </c>
      <c r="P105" s="3">
        <v>140</v>
      </c>
      <c r="Q105" s="3">
        <v>34</v>
      </c>
    </row>
    <row r="106" spans="2:17" ht="9">
      <c r="B106" s="9" t="s">
        <v>59</v>
      </c>
      <c r="C106" s="3">
        <v>45937</v>
      </c>
      <c r="D106" s="3">
        <v>891</v>
      </c>
      <c r="E106" s="3">
        <v>468</v>
      </c>
      <c r="F106" s="3">
        <v>344</v>
      </c>
      <c r="G106" s="3">
        <v>3352</v>
      </c>
      <c r="H106" s="3">
        <v>670</v>
      </c>
      <c r="I106" s="3">
        <v>604</v>
      </c>
      <c r="J106" s="3">
        <v>10020</v>
      </c>
      <c r="K106" s="3">
        <v>2872</v>
      </c>
      <c r="L106" s="3">
        <v>3563</v>
      </c>
      <c r="M106" s="3">
        <v>1049</v>
      </c>
      <c r="N106" s="3">
        <v>275</v>
      </c>
      <c r="O106" s="3">
        <v>177</v>
      </c>
      <c r="P106" s="3">
        <v>307</v>
      </c>
      <c r="Q106" s="3">
        <v>44</v>
      </c>
    </row>
    <row r="107" spans="2:17" ht="9">
      <c r="B107" s="9" t="s">
        <v>64</v>
      </c>
      <c r="C107" s="3">
        <v>11880</v>
      </c>
      <c r="D107" s="3">
        <v>231</v>
      </c>
      <c r="E107" s="3">
        <v>128</v>
      </c>
      <c r="F107" s="3">
        <v>97</v>
      </c>
      <c r="G107" s="3">
        <v>675</v>
      </c>
      <c r="H107" s="3">
        <v>165</v>
      </c>
      <c r="I107" s="3">
        <v>305</v>
      </c>
      <c r="J107" s="3">
        <v>3079</v>
      </c>
      <c r="K107" s="3">
        <v>348</v>
      </c>
      <c r="L107" s="3">
        <v>720</v>
      </c>
      <c r="M107" s="3">
        <v>294</v>
      </c>
      <c r="N107" s="3">
        <v>170</v>
      </c>
      <c r="O107" s="3">
        <v>127</v>
      </c>
      <c r="P107" s="3">
        <v>123</v>
      </c>
      <c r="Q107" s="3">
        <v>28</v>
      </c>
    </row>
    <row r="108" spans="1:17" ht="9">
      <c r="A108" s="4" t="s">
        <v>23</v>
      </c>
      <c r="C108" s="3">
        <v>81625</v>
      </c>
      <c r="D108" s="3">
        <v>1499</v>
      </c>
      <c r="E108" s="3">
        <v>1160</v>
      </c>
      <c r="F108" s="3">
        <v>573</v>
      </c>
      <c r="G108" s="3">
        <v>5219</v>
      </c>
      <c r="H108" s="3">
        <v>1244</v>
      </c>
      <c r="I108" s="3">
        <v>1151</v>
      </c>
      <c r="J108" s="3">
        <v>18197</v>
      </c>
      <c r="K108" s="3">
        <v>4294</v>
      </c>
      <c r="L108" s="3">
        <v>5929</v>
      </c>
      <c r="M108" s="3">
        <v>1764</v>
      </c>
      <c r="N108" s="3">
        <v>594</v>
      </c>
      <c r="O108" s="3">
        <v>377</v>
      </c>
      <c r="P108" s="3">
        <v>570</v>
      </c>
      <c r="Q108" s="3">
        <v>106</v>
      </c>
    </row>
    <row r="109" spans="2:17" s="6" customFormat="1" ht="9">
      <c r="B109" s="10" t="s">
        <v>127</v>
      </c>
      <c r="C109" s="7">
        <f>C108/81625</f>
        <v>1</v>
      </c>
      <c r="D109" s="7">
        <f aca="true" t="shared" si="13" ref="D109:M109">D108/41031</f>
        <v>0.03653335283078648</v>
      </c>
      <c r="E109" s="7">
        <f t="shared" si="13"/>
        <v>0.02827130706051522</v>
      </c>
      <c r="F109" s="7">
        <f t="shared" si="13"/>
        <v>0.01396505081523726</v>
      </c>
      <c r="G109" s="7">
        <f t="shared" si="13"/>
        <v>0.12719650995588702</v>
      </c>
      <c r="H109" s="7">
        <f t="shared" si="13"/>
        <v>0.030318539640759427</v>
      </c>
      <c r="I109" s="7">
        <f t="shared" si="13"/>
        <v>0.028051960712631913</v>
      </c>
      <c r="J109" s="7">
        <f t="shared" si="13"/>
        <v>0.44349394360361677</v>
      </c>
      <c r="K109" s="7">
        <f t="shared" si="13"/>
        <v>0.10465257975676927</v>
      </c>
      <c r="L109" s="7">
        <f t="shared" si="13"/>
        <v>0.14450049962223685</v>
      </c>
      <c r="M109" s="7">
        <f t="shared" si="13"/>
        <v>0.042991884185128316</v>
      </c>
      <c r="N109" s="7">
        <f>N108/594</f>
        <v>1</v>
      </c>
      <c r="O109" s="7">
        <f>O108/947</f>
        <v>0.39809926082365366</v>
      </c>
      <c r="P109" s="7">
        <f>P108/947</f>
        <v>0.6019007391763463</v>
      </c>
      <c r="Q109" s="7">
        <f>Q108/106</f>
        <v>1</v>
      </c>
    </row>
    <row r="110" spans="2:17" ht="4.5" customHeight="1"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9">
      <c r="A111" s="5" t="s">
        <v>66</v>
      </c>
      <c r="B111" s="1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9">
      <c r="B112" s="9" t="s">
        <v>59</v>
      </c>
      <c r="C112" s="3">
        <v>57539</v>
      </c>
      <c r="D112" s="3">
        <v>1429</v>
      </c>
      <c r="E112" s="3">
        <v>638</v>
      </c>
      <c r="F112" s="3">
        <v>638</v>
      </c>
      <c r="G112" s="3">
        <v>4109</v>
      </c>
      <c r="H112" s="3">
        <v>931</v>
      </c>
      <c r="I112" s="3">
        <v>1308</v>
      </c>
      <c r="J112" s="3">
        <v>13522</v>
      </c>
      <c r="K112" s="3">
        <v>3210</v>
      </c>
      <c r="L112" s="3">
        <v>5500</v>
      </c>
      <c r="M112" s="3">
        <v>1998</v>
      </c>
      <c r="N112" s="3">
        <v>634</v>
      </c>
      <c r="O112" s="3">
        <v>239</v>
      </c>
      <c r="P112" s="3">
        <v>336</v>
      </c>
      <c r="Q112" s="3">
        <v>79</v>
      </c>
    </row>
    <row r="113" spans="1:17" ht="9">
      <c r="A113" s="4" t="s">
        <v>23</v>
      </c>
      <c r="C113" s="3">
        <v>57539</v>
      </c>
      <c r="D113" s="3">
        <v>1429</v>
      </c>
      <c r="E113" s="3">
        <v>638</v>
      </c>
      <c r="F113" s="3">
        <v>638</v>
      </c>
      <c r="G113" s="3">
        <v>4109</v>
      </c>
      <c r="H113" s="3">
        <v>931</v>
      </c>
      <c r="I113" s="3">
        <v>1308</v>
      </c>
      <c r="J113" s="3">
        <v>13522</v>
      </c>
      <c r="K113" s="3">
        <v>3210</v>
      </c>
      <c r="L113" s="3">
        <v>5500</v>
      </c>
      <c r="M113" s="3">
        <v>1998</v>
      </c>
      <c r="N113" s="3">
        <v>634</v>
      </c>
      <c r="O113" s="3">
        <v>239</v>
      </c>
      <c r="P113" s="3">
        <v>336</v>
      </c>
      <c r="Q113" s="3">
        <v>79</v>
      </c>
    </row>
    <row r="114" spans="2:17" s="6" customFormat="1" ht="9">
      <c r="B114" s="10" t="s">
        <v>127</v>
      </c>
      <c r="C114" s="7">
        <f>C113/57539</f>
        <v>1</v>
      </c>
      <c r="D114" s="7">
        <f aca="true" t="shared" si="14" ref="D114:M114">D113/33284</f>
        <v>0.04293354164162961</v>
      </c>
      <c r="E114" s="7">
        <f t="shared" si="14"/>
        <v>0.019168369186395865</v>
      </c>
      <c r="F114" s="7">
        <f t="shared" si="14"/>
        <v>0.019168369186395865</v>
      </c>
      <c r="G114" s="7">
        <f t="shared" si="14"/>
        <v>0.12345271001081601</v>
      </c>
      <c r="H114" s="7">
        <f t="shared" si="14"/>
        <v>0.027971397668549454</v>
      </c>
      <c r="I114" s="7">
        <f t="shared" si="14"/>
        <v>0.03929816127869246</v>
      </c>
      <c r="J114" s="7">
        <f t="shared" si="14"/>
        <v>0.40626126667467855</v>
      </c>
      <c r="K114" s="7">
        <f t="shared" si="14"/>
        <v>0.0964427352481673</v>
      </c>
      <c r="L114" s="7">
        <f t="shared" si="14"/>
        <v>0.1652445619516885</v>
      </c>
      <c r="M114" s="7">
        <f t="shared" si="14"/>
        <v>0.06002884268717702</v>
      </c>
      <c r="N114" s="7">
        <f>N113/634</f>
        <v>1</v>
      </c>
      <c r="O114" s="7">
        <f>O113/575</f>
        <v>0.4156521739130435</v>
      </c>
      <c r="P114" s="7">
        <f>P113/575</f>
        <v>0.5843478260869566</v>
      </c>
      <c r="Q114" s="7">
        <f>Q113/79</f>
        <v>1</v>
      </c>
    </row>
    <row r="115" spans="2:17" ht="4.5" customHeight="1">
      <c r="B115" s="1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9">
      <c r="A116" s="5" t="s">
        <v>67</v>
      </c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9">
      <c r="B117" s="9" t="s">
        <v>59</v>
      </c>
      <c r="C117" s="3">
        <v>50462</v>
      </c>
      <c r="D117" s="3">
        <v>886</v>
      </c>
      <c r="E117" s="3">
        <v>399</v>
      </c>
      <c r="F117" s="3">
        <v>511</v>
      </c>
      <c r="G117" s="3">
        <v>3131</v>
      </c>
      <c r="H117" s="3">
        <v>552</v>
      </c>
      <c r="I117" s="3">
        <v>1101</v>
      </c>
      <c r="J117" s="3">
        <v>10272</v>
      </c>
      <c r="K117" s="3">
        <v>2454</v>
      </c>
      <c r="L117" s="3">
        <v>4030</v>
      </c>
      <c r="M117" s="3">
        <v>2041</v>
      </c>
      <c r="N117" s="3">
        <v>509</v>
      </c>
      <c r="O117" s="3">
        <v>175</v>
      </c>
      <c r="P117" s="3">
        <v>202</v>
      </c>
      <c r="Q117" s="3">
        <v>83</v>
      </c>
    </row>
    <row r="118" spans="1:17" ht="9">
      <c r="A118" s="4" t="s">
        <v>23</v>
      </c>
      <c r="C118" s="3">
        <v>50462</v>
      </c>
      <c r="D118" s="3">
        <v>886</v>
      </c>
      <c r="E118" s="3">
        <v>399</v>
      </c>
      <c r="F118" s="3">
        <v>511</v>
      </c>
      <c r="G118" s="3">
        <v>3131</v>
      </c>
      <c r="H118" s="3">
        <v>552</v>
      </c>
      <c r="I118" s="3">
        <v>1101</v>
      </c>
      <c r="J118" s="3">
        <v>10272</v>
      </c>
      <c r="K118" s="3">
        <v>2454</v>
      </c>
      <c r="L118" s="3">
        <v>4030</v>
      </c>
      <c r="M118" s="3">
        <v>2041</v>
      </c>
      <c r="N118" s="3">
        <v>509</v>
      </c>
      <c r="O118" s="3">
        <v>175</v>
      </c>
      <c r="P118" s="3">
        <v>202</v>
      </c>
      <c r="Q118" s="3">
        <v>83</v>
      </c>
    </row>
    <row r="119" spans="2:17" s="6" customFormat="1" ht="9">
      <c r="B119" s="10" t="s">
        <v>127</v>
      </c>
      <c r="C119" s="7">
        <f>C118/50462</f>
        <v>1</v>
      </c>
      <c r="D119" s="7">
        <f aca="true" t="shared" si="15" ref="D119:M119">D118/25377</f>
        <v>0.03491350435433661</v>
      </c>
      <c r="E119" s="7">
        <f t="shared" si="15"/>
        <v>0.015722898687788155</v>
      </c>
      <c r="F119" s="7">
        <f t="shared" si="15"/>
        <v>0.020136343933483077</v>
      </c>
      <c r="G119" s="7">
        <f t="shared" si="15"/>
        <v>0.1233794380738464</v>
      </c>
      <c r="H119" s="7">
        <f t="shared" si="15"/>
        <v>0.021751980139496394</v>
      </c>
      <c r="I119" s="7">
        <f t="shared" si="15"/>
        <v>0.04338574299562596</v>
      </c>
      <c r="J119" s="7">
        <f t="shared" si="15"/>
        <v>0.40477597824801986</v>
      </c>
      <c r="K119" s="7">
        <f t="shared" si="15"/>
        <v>0.09670173779406549</v>
      </c>
      <c r="L119" s="7">
        <f t="shared" si="15"/>
        <v>0.15880521732277258</v>
      </c>
      <c r="M119" s="7">
        <f t="shared" si="15"/>
        <v>0.08042715845056547</v>
      </c>
      <c r="N119" s="7">
        <f>N118/509</f>
        <v>1</v>
      </c>
      <c r="O119" s="7">
        <f>O118/377</f>
        <v>0.46419098143236076</v>
      </c>
      <c r="P119" s="7">
        <f>P118/377</f>
        <v>0.5358090185676393</v>
      </c>
      <c r="Q119" s="7">
        <f>Q118/83</f>
        <v>1</v>
      </c>
    </row>
    <row r="120" spans="2:17" ht="4.5" customHeight="1"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9">
      <c r="A121" s="5" t="s">
        <v>70</v>
      </c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9">
      <c r="B122" s="9" t="s">
        <v>68</v>
      </c>
      <c r="C122" s="3">
        <v>30902</v>
      </c>
      <c r="D122" s="3">
        <v>837</v>
      </c>
      <c r="E122" s="3">
        <v>362</v>
      </c>
      <c r="F122" s="3">
        <v>326</v>
      </c>
      <c r="G122" s="3">
        <v>4091</v>
      </c>
      <c r="H122" s="3">
        <v>510</v>
      </c>
      <c r="I122" s="3">
        <v>978</v>
      </c>
      <c r="J122" s="3">
        <v>10661</v>
      </c>
      <c r="K122" s="3">
        <v>1147</v>
      </c>
      <c r="L122" s="3">
        <v>1739</v>
      </c>
      <c r="M122" s="3">
        <v>883</v>
      </c>
      <c r="N122" s="3">
        <v>284</v>
      </c>
      <c r="O122" s="3">
        <v>88</v>
      </c>
      <c r="P122" s="3">
        <v>116</v>
      </c>
      <c r="Q122" s="3">
        <v>42</v>
      </c>
    </row>
    <row r="123" spans="2:17" ht="9">
      <c r="B123" s="9" t="s">
        <v>69</v>
      </c>
      <c r="C123" s="3">
        <v>5280</v>
      </c>
      <c r="D123" s="3">
        <v>183</v>
      </c>
      <c r="E123" s="3">
        <v>93</v>
      </c>
      <c r="F123" s="3">
        <v>54</v>
      </c>
      <c r="G123" s="3">
        <v>608</v>
      </c>
      <c r="H123" s="3">
        <v>102</v>
      </c>
      <c r="I123" s="3">
        <v>153</v>
      </c>
      <c r="J123" s="3">
        <v>2225</v>
      </c>
      <c r="K123" s="3">
        <v>285</v>
      </c>
      <c r="L123" s="3">
        <v>514</v>
      </c>
      <c r="M123" s="3">
        <v>174</v>
      </c>
      <c r="N123" s="3">
        <v>94</v>
      </c>
      <c r="O123" s="3">
        <v>30</v>
      </c>
      <c r="P123" s="3">
        <v>28</v>
      </c>
      <c r="Q123" s="3">
        <v>3</v>
      </c>
    </row>
    <row r="124" spans="2:17" ht="9">
      <c r="B124" s="9" t="s">
        <v>64</v>
      </c>
      <c r="C124" s="3">
        <v>30067</v>
      </c>
      <c r="D124" s="3">
        <v>397</v>
      </c>
      <c r="E124" s="3">
        <v>173</v>
      </c>
      <c r="F124" s="3">
        <v>134</v>
      </c>
      <c r="G124" s="3">
        <v>804</v>
      </c>
      <c r="H124" s="3">
        <v>361</v>
      </c>
      <c r="I124" s="3">
        <v>382</v>
      </c>
      <c r="J124" s="3">
        <v>4826</v>
      </c>
      <c r="K124" s="3">
        <v>519</v>
      </c>
      <c r="L124" s="3">
        <v>816</v>
      </c>
      <c r="M124" s="3">
        <v>430</v>
      </c>
      <c r="N124" s="3">
        <v>255</v>
      </c>
      <c r="O124" s="3">
        <v>121</v>
      </c>
      <c r="P124" s="3">
        <v>172</v>
      </c>
      <c r="Q124" s="3">
        <v>99</v>
      </c>
    </row>
    <row r="125" spans="1:17" ht="9">
      <c r="A125" s="4" t="s">
        <v>23</v>
      </c>
      <c r="C125" s="3">
        <v>66249</v>
      </c>
      <c r="D125" s="3">
        <v>1417</v>
      </c>
      <c r="E125" s="3">
        <v>628</v>
      </c>
      <c r="F125" s="3">
        <v>514</v>
      </c>
      <c r="G125" s="3">
        <v>5503</v>
      </c>
      <c r="H125" s="3">
        <v>973</v>
      </c>
      <c r="I125" s="3">
        <v>1513</v>
      </c>
      <c r="J125" s="3">
        <v>17712</v>
      </c>
      <c r="K125" s="3">
        <v>1951</v>
      </c>
      <c r="L125" s="3">
        <v>3069</v>
      </c>
      <c r="M125" s="3">
        <v>1487</v>
      </c>
      <c r="N125" s="3">
        <v>633</v>
      </c>
      <c r="O125" s="3">
        <v>239</v>
      </c>
      <c r="P125" s="3">
        <v>316</v>
      </c>
      <c r="Q125" s="3">
        <v>144</v>
      </c>
    </row>
    <row r="126" spans="2:17" s="6" customFormat="1" ht="9">
      <c r="B126" s="10" t="s">
        <v>127</v>
      </c>
      <c r="C126" s="7">
        <f>C125/66249</f>
        <v>1</v>
      </c>
      <c r="D126" s="7">
        <f aca="true" t="shared" si="16" ref="D126:M126">D125/34767</f>
        <v>0.04075703972157506</v>
      </c>
      <c r="E126" s="7">
        <f t="shared" si="16"/>
        <v>0.018063105818736158</v>
      </c>
      <c r="F126" s="7">
        <f t="shared" si="16"/>
        <v>0.014784134380303161</v>
      </c>
      <c r="G126" s="7">
        <f t="shared" si="16"/>
        <v>0.1582822791727788</v>
      </c>
      <c r="H126" s="7">
        <f t="shared" si="16"/>
        <v>0.027986308856099176</v>
      </c>
      <c r="I126" s="7">
        <f t="shared" si="16"/>
        <v>0.043518278827623894</v>
      </c>
      <c r="J126" s="7">
        <f t="shared" si="16"/>
        <v>0.5094486150660109</v>
      </c>
      <c r="K126" s="7">
        <f t="shared" si="16"/>
        <v>0.056116432248971726</v>
      </c>
      <c r="L126" s="7">
        <f t="shared" si="16"/>
        <v>0.08827336267149884</v>
      </c>
      <c r="M126" s="7">
        <f t="shared" si="16"/>
        <v>0.042770443236402333</v>
      </c>
      <c r="N126" s="7">
        <f>N125/633</f>
        <v>1</v>
      </c>
      <c r="O126" s="7">
        <f>O125/555</f>
        <v>0.4306306306306306</v>
      </c>
      <c r="P126" s="7">
        <f>P125/555</f>
        <v>0.5693693693693693</v>
      </c>
      <c r="Q126" s="7">
        <f>Q125/144</f>
        <v>1</v>
      </c>
    </row>
    <row r="127" spans="2:17" ht="4.5" customHeight="1">
      <c r="B127" s="1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9">
      <c r="A128" s="5" t="s">
        <v>75</v>
      </c>
      <c r="B128" s="1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9">
      <c r="B129" s="9" t="s">
        <v>71</v>
      </c>
      <c r="C129" s="3">
        <v>206</v>
      </c>
      <c r="D129" s="3">
        <v>4</v>
      </c>
      <c r="E129" s="3">
        <v>2</v>
      </c>
      <c r="F129" s="3">
        <v>0</v>
      </c>
      <c r="G129" s="3">
        <v>7</v>
      </c>
      <c r="H129" s="3">
        <v>1</v>
      </c>
      <c r="I129" s="3">
        <v>1</v>
      </c>
      <c r="J129" s="3">
        <v>415</v>
      </c>
      <c r="K129" s="3">
        <v>2</v>
      </c>
      <c r="L129" s="3">
        <v>5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</row>
    <row r="130" spans="2:17" ht="9">
      <c r="B130" s="9" t="s">
        <v>72</v>
      </c>
      <c r="C130" s="3">
        <v>68</v>
      </c>
      <c r="D130" s="3">
        <v>0</v>
      </c>
      <c r="E130" s="3">
        <v>1</v>
      </c>
      <c r="F130" s="3">
        <v>0</v>
      </c>
      <c r="G130" s="3">
        <v>3</v>
      </c>
      <c r="H130" s="3">
        <v>0</v>
      </c>
      <c r="I130" s="3">
        <v>1</v>
      </c>
      <c r="J130" s="3">
        <v>206</v>
      </c>
      <c r="K130" s="3">
        <v>0</v>
      </c>
      <c r="L130" s="3">
        <v>3</v>
      </c>
      <c r="M130" s="3">
        <v>2</v>
      </c>
      <c r="N130" s="3">
        <v>2</v>
      </c>
      <c r="O130" s="3">
        <v>0</v>
      </c>
      <c r="P130" s="3">
        <v>0</v>
      </c>
      <c r="Q130" s="3">
        <v>0</v>
      </c>
    </row>
    <row r="131" spans="2:17" ht="9">
      <c r="B131" s="9" t="s">
        <v>73</v>
      </c>
      <c r="C131" s="3">
        <v>12175</v>
      </c>
      <c r="D131" s="3">
        <v>281</v>
      </c>
      <c r="E131" s="3">
        <v>111</v>
      </c>
      <c r="F131" s="3">
        <v>147</v>
      </c>
      <c r="G131" s="3">
        <v>939</v>
      </c>
      <c r="H131" s="3">
        <v>198</v>
      </c>
      <c r="I131" s="3">
        <v>534</v>
      </c>
      <c r="J131" s="3">
        <v>8742</v>
      </c>
      <c r="K131" s="3">
        <v>460</v>
      </c>
      <c r="L131" s="3">
        <v>530</v>
      </c>
      <c r="M131" s="3">
        <v>283</v>
      </c>
      <c r="N131" s="3">
        <v>144</v>
      </c>
      <c r="O131" s="3">
        <v>19</v>
      </c>
      <c r="P131" s="3">
        <v>19</v>
      </c>
      <c r="Q131" s="3">
        <v>2</v>
      </c>
    </row>
    <row r="132" spans="2:17" ht="9">
      <c r="B132" s="9" t="s">
        <v>58</v>
      </c>
      <c r="C132" s="3">
        <v>11944</v>
      </c>
      <c r="D132" s="3">
        <v>204</v>
      </c>
      <c r="E132" s="3">
        <v>114</v>
      </c>
      <c r="F132" s="3">
        <v>208</v>
      </c>
      <c r="G132" s="3">
        <v>686</v>
      </c>
      <c r="H132" s="3">
        <v>136</v>
      </c>
      <c r="I132" s="3">
        <v>335</v>
      </c>
      <c r="J132" s="3">
        <v>2392</v>
      </c>
      <c r="K132" s="3">
        <v>314</v>
      </c>
      <c r="L132" s="3">
        <v>445</v>
      </c>
      <c r="M132" s="3">
        <v>217</v>
      </c>
      <c r="N132" s="3">
        <v>92</v>
      </c>
      <c r="O132" s="3">
        <v>17</v>
      </c>
      <c r="P132" s="3">
        <v>24</v>
      </c>
      <c r="Q132" s="3">
        <v>26</v>
      </c>
    </row>
    <row r="133" spans="2:17" ht="9">
      <c r="B133" s="9" t="s">
        <v>74</v>
      </c>
      <c r="C133" s="3">
        <v>13681</v>
      </c>
      <c r="D133" s="3">
        <v>336</v>
      </c>
      <c r="E133" s="3">
        <v>156</v>
      </c>
      <c r="F133" s="3">
        <v>247</v>
      </c>
      <c r="G133" s="3">
        <v>1045</v>
      </c>
      <c r="H133" s="3">
        <v>179</v>
      </c>
      <c r="I133" s="3">
        <v>355</v>
      </c>
      <c r="J133" s="3">
        <v>6183</v>
      </c>
      <c r="K133" s="3">
        <v>752</v>
      </c>
      <c r="L133" s="3">
        <v>1248</v>
      </c>
      <c r="M133" s="3">
        <v>331</v>
      </c>
      <c r="N133" s="3">
        <v>197</v>
      </c>
      <c r="O133" s="3">
        <v>41</v>
      </c>
      <c r="P133" s="3">
        <v>32</v>
      </c>
      <c r="Q133" s="3">
        <v>31</v>
      </c>
    </row>
    <row r="134" spans="1:17" ht="9">
      <c r="A134" s="4" t="s">
        <v>23</v>
      </c>
      <c r="C134" s="3">
        <v>38074</v>
      </c>
      <c r="D134" s="3">
        <v>825</v>
      </c>
      <c r="E134" s="3">
        <v>384</v>
      </c>
      <c r="F134" s="3">
        <v>602</v>
      </c>
      <c r="G134" s="3">
        <v>2680</v>
      </c>
      <c r="H134" s="3">
        <v>514</v>
      </c>
      <c r="I134" s="3">
        <v>1226</v>
      </c>
      <c r="J134" s="3">
        <v>17938</v>
      </c>
      <c r="K134" s="3">
        <v>1528</v>
      </c>
      <c r="L134" s="3">
        <v>2231</v>
      </c>
      <c r="M134" s="3">
        <v>833</v>
      </c>
      <c r="N134" s="3">
        <v>435</v>
      </c>
      <c r="O134" s="3">
        <v>77</v>
      </c>
      <c r="P134" s="3">
        <v>76</v>
      </c>
      <c r="Q134" s="3">
        <v>59</v>
      </c>
    </row>
    <row r="135" spans="2:17" s="6" customFormat="1" ht="9">
      <c r="B135" s="10" t="s">
        <v>127</v>
      </c>
      <c r="C135" s="7">
        <f>C134/38074</f>
        <v>1</v>
      </c>
      <c r="D135" s="7">
        <f aca="true" t="shared" si="17" ref="D135:M135">D134/28761</f>
        <v>0.028684677166996974</v>
      </c>
      <c r="E135" s="7">
        <f t="shared" si="17"/>
        <v>0.013351413372274955</v>
      </c>
      <c r="F135" s="7">
        <f t="shared" si="17"/>
        <v>0.02093112200549355</v>
      </c>
      <c r="G135" s="7">
        <f t="shared" si="17"/>
        <v>0.09318173916066896</v>
      </c>
      <c r="H135" s="7">
        <f t="shared" si="17"/>
        <v>0.01787142310768054</v>
      </c>
      <c r="I135" s="7">
        <f t="shared" si="17"/>
        <v>0.042627168735440354</v>
      </c>
      <c r="J135" s="7">
        <f t="shared" si="17"/>
        <v>0.6236918048746567</v>
      </c>
      <c r="K135" s="7">
        <f t="shared" si="17"/>
        <v>0.0531274990438441</v>
      </c>
      <c r="L135" s="7">
        <f t="shared" si="17"/>
        <v>0.07757032092069122</v>
      </c>
      <c r="M135" s="7">
        <f t="shared" si="17"/>
        <v>0.028962831612252705</v>
      </c>
      <c r="N135" s="7">
        <f>N134/435</f>
        <v>1</v>
      </c>
      <c r="O135" s="7">
        <f>O134/153</f>
        <v>0.5032679738562091</v>
      </c>
      <c r="P135" s="7">
        <f>P134/153</f>
        <v>0.49673202614379086</v>
      </c>
      <c r="Q135" s="7">
        <f>Q134/59</f>
        <v>1</v>
      </c>
    </row>
    <row r="136" spans="2:17" ht="4.5" customHeight="1"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9">
      <c r="A137" s="5" t="s">
        <v>78</v>
      </c>
      <c r="B137" s="1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9">
      <c r="B138" s="9" t="s">
        <v>71</v>
      </c>
      <c r="C138" s="3">
        <v>18348</v>
      </c>
      <c r="D138" s="3">
        <v>255</v>
      </c>
      <c r="E138" s="3">
        <v>120</v>
      </c>
      <c r="F138" s="3">
        <v>86</v>
      </c>
      <c r="G138" s="3">
        <v>843</v>
      </c>
      <c r="H138" s="3">
        <v>150</v>
      </c>
      <c r="I138" s="3">
        <v>230</v>
      </c>
      <c r="J138" s="3">
        <v>24256</v>
      </c>
      <c r="K138" s="3">
        <v>342</v>
      </c>
      <c r="L138" s="3">
        <v>820</v>
      </c>
      <c r="M138" s="3">
        <v>242</v>
      </c>
      <c r="N138" s="3">
        <v>174</v>
      </c>
      <c r="O138" s="3">
        <v>47</v>
      </c>
      <c r="P138" s="3">
        <v>70</v>
      </c>
      <c r="Q138" s="3">
        <v>15</v>
      </c>
    </row>
    <row r="139" spans="2:17" ht="9">
      <c r="B139" s="9" t="s">
        <v>72</v>
      </c>
      <c r="C139" s="3">
        <v>7407</v>
      </c>
      <c r="D139" s="3">
        <v>193</v>
      </c>
      <c r="E139" s="3">
        <v>94</v>
      </c>
      <c r="F139" s="3">
        <v>95</v>
      </c>
      <c r="G139" s="3">
        <v>392</v>
      </c>
      <c r="H139" s="3">
        <v>84</v>
      </c>
      <c r="I139" s="3">
        <v>156</v>
      </c>
      <c r="J139" s="3">
        <v>10187</v>
      </c>
      <c r="K139" s="3">
        <v>330</v>
      </c>
      <c r="L139" s="3">
        <v>524</v>
      </c>
      <c r="M139" s="3">
        <v>177</v>
      </c>
      <c r="N139" s="3">
        <v>145</v>
      </c>
      <c r="O139" s="3">
        <v>43</v>
      </c>
      <c r="P139" s="3">
        <v>44</v>
      </c>
      <c r="Q139" s="3">
        <v>8</v>
      </c>
    </row>
    <row r="140" spans="2:17" ht="9">
      <c r="B140" s="9" t="s">
        <v>76</v>
      </c>
      <c r="C140" s="3">
        <v>1792</v>
      </c>
      <c r="D140" s="3">
        <v>60</v>
      </c>
      <c r="E140" s="3">
        <v>33</v>
      </c>
      <c r="F140" s="3">
        <v>39</v>
      </c>
      <c r="G140" s="3">
        <v>109</v>
      </c>
      <c r="H140" s="3">
        <v>23</v>
      </c>
      <c r="I140" s="3">
        <v>59</v>
      </c>
      <c r="J140" s="3">
        <v>2185</v>
      </c>
      <c r="K140" s="3">
        <v>120</v>
      </c>
      <c r="L140" s="3">
        <v>186</v>
      </c>
      <c r="M140" s="3">
        <v>71</v>
      </c>
      <c r="N140" s="3">
        <v>35</v>
      </c>
      <c r="O140" s="3">
        <v>16</v>
      </c>
      <c r="P140" s="3">
        <v>11</v>
      </c>
      <c r="Q140" s="3">
        <v>4</v>
      </c>
    </row>
    <row r="141" spans="2:17" ht="9">
      <c r="B141" s="9" t="s">
        <v>74</v>
      </c>
      <c r="C141" s="3">
        <v>15118</v>
      </c>
      <c r="D141" s="3">
        <v>464</v>
      </c>
      <c r="E141" s="3">
        <v>242</v>
      </c>
      <c r="F141" s="3">
        <v>306</v>
      </c>
      <c r="G141" s="3">
        <v>1500</v>
      </c>
      <c r="H141" s="3">
        <v>234</v>
      </c>
      <c r="I141" s="3">
        <v>587</v>
      </c>
      <c r="J141" s="3">
        <v>13370</v>
      </c>
      <c r="K141" s="3">
        <v>1144</v>
      </c>
      <c r="L141" s="3">
        <v>2363</v>
      </c>
      <c r="M141" s="3">
        <v>476</v>
      </c>
      <c r="N141" s="3">
        <v>227</v>
      </c>
      <c r="O141" s="3">
        <v>44</v>
      </c>
      <c r="P141" s="3">
        <v>52</v>
      </c>
      <c r="Q141" s="3">
        <v>36</v>
      </c>
    </row>
    <row r="142" spans="2:17" ht="9">
      <c r="B142" s="9" t="s">
        <v>77</v>
      </c>
      <c r="C142" s="3">
        <v>5842</v>
      </c>
      <c r="D142" s="3">
        <v>243</v>
      </c>
      <c r="E142" s="3">
        <v>123</v>
      </c>
      <c r="F142" s="3">
        <v>128</v>
      </c>
      <c r="G142" s="3">
        <v>804</v>
      </c>
      <c r="H142" s="3">
        <v>135</v>
      </c>
      <c r="I142" s="3">
        <v>180</v>
      </c>
      <c r="J142" s="3">
        <v>3817</v>
      </c>
      <c r="K142" s="3">
        <v>575</v>
      </c>
      <c r="L142" s="3">
        <v>791</v>
      </c>
      <c r="M142" s="3">
        <v>265</v>
      </c>
      <c r="N142" s="3">
        <v>104</v>
      </c>
      <c r="O142" s="3">
        <v>49</v>
      </c>
      <c r="P142" s="3">
        <v>29</v>
      </c>
      <c r="Q142" s="3">
        <v>10</v>
      </c>
    </row>
    <row r="143" spans="1:17" ht="9">
      <c r="A143" s="4" t="s">
        <v>23</v>
      </c>
      <c r="C143" s="3">
        <v>48507</v>
      </c>
      <c r="D143" s="3">
        <v>1215</v>
      </c>
      <c r="E143" s="3">
        <v>612</v>
      </c>
      <c r="F143" s="3">
        <v>654</v>
      </c>
      <c r="G143" s="3">
        <v>3648</v>
      </c>
      <c r="H143" s="3">
        <v>626</v>
      </c>
      <c r="I143" s="3">
        <v>1212</v>
      </c>
      <c r="J143" s="3">
        <v>53815</v>
      </c>
      <c r="K143" s="3">
        <v>2511</v>
      </c>
      <c r="L143" s="3">
        <v>4684</v>
      </c>
      <c r="M143" s="3">
        <v>1231</v>
      </c>
      <c r="N143" s="3">
        <v>685</v>
      </c>
      <c r="O143" s="3">
        <v>199</v>
      </c>
      <c r="P143" s="3">
        <v>206</v>
      </c>
      <c r="Q143" s="3">
        <v>73</v>
      </c>
    </row>
    <row r="144" spans="2:17" s="6" customFormat="1" ht="9">
      <c r="B144" s="10" t="s">
        <v>127</v>
      </c>
      <c r="C144" s="7">
        <f>C143/48507</f>
        <v>1</v>
      </c>
      <c r="D144" s="7">
        <f aca="true" t="shared" si="18" ref="D144:M144">D143/70208</f>
        <v>0.017305720145852323</v>
      </c>
      <c r="E144" s="7">
        <f t="shared" si="18"/>
        <v>0.008716955332725615</v>
      </c>
      <c r="F144" s="7">
        <f t="shared" si="18"/>
        <v>0.00931517775752051</v>
      </c>
      <c r="G144" s="7">
        <f t="shared" si="18"/>
        <v>0.05195989061075661</v>
      </c>
      <c r="H144" s="7">
        <f t="shared" si="18"/>
        <v>0.008916362807657247</v>
      </c>
      <c r="I144" s="7">
        <f t="shared" si="18"/>
        <v>0.01726298997265269</v>
      </c>
      <c r="J144" s="7">
        <f t="shared" si="18"/>
        <v>0.7665080902461258</v>
      </c>
      <c r="K144" s="7">
        <f t="shared" si="18"/>
        <v>0.035765154968094806</v>
      </c>
      <c r="L144" s="7">
        <f t="shared" si="18"/>
        <v>0.06671604375569735</v>
      </c>
      <c r="M144" s="7">
        <f t="shared" si="18"/>
        <v>0.017533614402917046</v>
      </c>
      <c r="N144" s="7">
        <f>N143/685</f>
        <v>1</v>
      </c>
      <c r="O144" s="7">
        <f>O143/405</f>
        <v>0.49135802469135803</v>
      </c>
      <c r="P144" s="7">
        <f>P143/405</f>
        <v>0.508641975308642</v>
      </c>
      <c r="Q144" s="7">
        <f>Q143/73</f>
        <v>1</v>
      </c>
    </row>
    <row r="145" spans="2:17" ht="4.5" customHeight="1">
      <c r="B145" s="1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9">
      <c r="A146" s="5" t="s">
        <v>81</v>
      </c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9">
      <c r="B147" s="9" t="s">
        <v>71</v>
      </c>
      <c r="C147" s="3">
        <v>14203</v>
      </c>
      <c r="D147" s="3">
        <v>186</v>
      </c>
      <c r="E147" s="3">
        <v>71</v>
      </c>
      <c r="F147" s="3">
        <v>66</v>
      </c>
      <c r="G147" s="3">
        <v>500</v>
      </c>
      <c r="H147" s="3">
        <v>117</v>
      </c>
      <c r="I147" s="3">
        <v>129</v>
      </c>
      <c r="J147" s="3">
        <v>5998</v>
      </c>
      <c r="K147" s="3">
        <v>237</v>
      </c>
      <c r="L147" s="3">
        <v>385</v>
      </c>
      <c r="M147" s="3">
        <v>141</v>
      </c>
      <c r="N147" s="3">
        <v>109</v>
      </c>
      <c r="O147" s="3">
        <v>29</v>
      </c>
      <c r="P147" s="3">
        <v>23</v>
      </c>
      <c r="Q147" s="3">
        <v>22</v>
      </c>
    </row>
    <row r="148" spans="2:17" ht="9">
      <c r="B148" s="9" t="s">
        <v>79</v>
      </c>
      <c r="C148" s="3">
        <v>8705</v>
      </c>
      <c r="D148" s="3">
        <v>220</v>
      </c>
      <c r="E148" s="3">
        <v>96</v>
      </c>
      <c r="F148" s="3">
        <v>55</v>
      </c>
      <c r="G148" s="3">
        <v>748</v>
      </c>
      <c r="H148" s="3">
        <v>130</v>
      </c>
      <c r="I148" s="3">
        <v>158</v>
      </c>
      <c r="J148" s="3">
        <v>2357</v>
      </c>
      <c r="K148" s="3">
        <v>242</v>
      </c>
      <c r="L148" s="3">
        <v>258</v>
      </c>
      <c r="M148" s="3">
        <v>171</v>
      </c>
      <c r="N148" s="3">
        <v>98</v>
      </c>
      <c r="O148" s="3">
        <v>13</v>
      </c>
      <c r="P148" s="3">
        <v>15</v>
      </c>
      <c r="Q148" s="3">
        <v>8</v>
      </c>
    </row>
    <row r="149" spans="2:17" ht="9">
      <c r="B149" s="9" t="s">
        <v>80</v>
      </c>
      <c r="C149" s="3">
        <v>5864</v>
      </c>
      <c r="D149" s="3">
        <v>144</v>
      </c>
      <c r="E149" s="3">
        <v>96</v>
      </c>
      <c r="F149" s="3">
        <v>67</v>
      </c>
      <c r="G149" s="3">
        <v>420</v>
      </c>
      <c r="H149" s="3">
        <v>110</v>
      </c>
      <c r="I149" s="3">
        <v>156</v>
      </c>
      <c r="J149" s="3">
        <v>6589</v>
      </c>
      <c r="K149" s="3">
        <v>214</v>
      </c>
      <c r="L149" s="3">
        <v>241</v>
      </c>
      <c r="M149" s="3">
        <v>206</v>
      </c>
      <c r="N149" s="3">
        <v>79</v>
      </c>
      <c r="O149" s="3">
        <v>13</v>
      </c>
      <c r="P149" s="3">
        <v>22</v>
      </c>
      <c r="Q149" s="3">
        <v>2</v>
      </c>
    </row>
    <row r="150" spans="1:17" ht="9">
      <c r="A150" s="4" t="s">
        <v>23</v>
      </c>
      <c r="C150" s="3">
        <v>28772</v>
      </c>
      <c r="D150" s="3">
        <v>550</v>
      </c>
      <c r="E150" s="3">
        <v>263</v>
      </c>
      <c r="F150" s="3">
        <v>188</v>
      </c>
      <c r="G150" s="3">
        <v>1668</v>
      </c>
      <c r="H150" s="3">
        <v>357</v>
      </c>
      <c r="I150" s="3">
        <v>443</v>
      </c>
      <c r="J150" s="3">
        <v>14944</v>
      </c>
      <c r="K150" s="3">
        <v>693</v>
      </c>
      <c r="L150" s="3">
        <v>884</v>
      </c>
      <c r="M150" s="3">
        <v>518</v>
      </c>
      <c r="N150" s="3">
        <v>286</v>
      </c>
      <c r="O150" s="3">
        <v>55</v>
      </c>
      <c r="P150" s="3">
        <v>60</v>
      </c>
      <c r="Q150" s="3">
        <v>32</v>
      </c>
    </row>
    <row r="151" spans="2:17" s="6" customFormat="1" ht="9">
      <c r="B151" s="10" t="s">
        <v>127</v>
      </c>
      <c r="C151" s="7">
        <f>C150/28772</f>
        <v>1</v>
      </c>
      <c r="D151" s="7">
        <f aca="true" t="shared" si="19" ref="D151:M151">D150/20508</f>
        <v>0.026818802418568363</v>
      </c>
      <c r="E151" s="7">
        <f t="shared" si="19"/>
        <v>0.012824263701969964</v>
      </c>
      <c r="F151" s="7">
        <f t="shared" si="19"/>
        <v>0.009167154281256095</v>
      </c>
      <c r="G151" s="7">
        <f t="shared" si="19"/>
        <v>0.08133411351667642</v>
      </c>
      <c r="H151" s="7">
        <f t="shared" si="19"/>
        <v>0.01740784084259801</v>
      </c>
      <c r="I151" s="7">
        <f t="shared" si="19"/>
        <v>0.021601326311683246</v>
      </c>
      <c r="J151" s="7">
        <f t="shared" si="19"/>
        <v>0.7286912424419739</v>
      </c>
      <c r="K151" s="7">
        <f t="shared" si="19"/>
        <v>0.03379169104739614</v>
      </c>
      <c r="L151" s="7">
        <f t="shared" si="19"/>
        <v>0.04310512970548079</v>
      </c>
      <c r="M151" s="7">
        <f t="shared" si="19"/>
        <v>0.025258435732397114</v>
      </c>
      <c r="N151" s="7">
        <f>N150/286</f>
        <v>1</v>
      </c>
      <c r="O151" s="7">
        <f>O150/115</f>
        <v>0.4782608695652174</v>
      </c>
      <c r="P151" s="7">
        <f>P150/115</f>
        <v>0.5217391304347826</v>
      </c>
      <c r="Q151" s="7">
        <f>Q150/32</f>
        <v>1</v>
      </c>
    </row>
    <row r="152" spans="2:17" ht="4.5" customHeight="1"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9">
      <c r="A153" s="5" t="s">
        <v>83</v>
      </c>
      <c r="B153" s="1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9">
      <c r="B154" s="9" t="s">
        <v>71</v>
      </c>
      <c r="C154" s="3">
        <v>18408</v>
      </c>
      <c r="D154" s="3">
        <v>383</v>
      </c>
      <c r="E154" s="3">
        <v>155</v>
      </c>
      <c r="F154" s="3">
        <v>95</v>
      </c>
      <c r="G154" s="3">
        <v>1184</v>
      </c>
      <c r="H154" s="3">
        <v>194</v>
      </c>
      <c r="I154" s="3">
        <v>299</v>
      </c>
      <c r="J154" s="3">
        <v>28102</v>
      </c>
      <c r="K154" s="3">
        <v>438</v>
      </c>
      <c r="L154" s="3">
        <v>931</v>
      </c>
      <c r="M154" s="3">
        <v>278</v>
      </c>
      <c r="N154" s="3">
        <v>222</v>
      </c>
      <c r="O154" s="3">
        <v>60</v>
      </c>
      <c r="P154" s="3">
        <v>78</v>
      </c>
      <c r="Q154" s="3">
        <v>27</v>
      </c>
    </row>
    <row r="155" spans="2:17" ht="9">
      <c r="B155" s="9" t="s">
        <v>82</v>
      </c>
      <c r="C155" s="3">
        <v>17847</v>
      </c>
      <c r="D155" s="3">
        <v>325</v>
      </c>
      <c r="E155" s="3">
        <v>171</v>
      </c>
      <c r="F155" s="3">
        <v>177</v>
      </c>
      <c r="G155" s="3">
        <v>918</v>
      </c>
      <c r="H155" s="3">
        <v>123</v>
      </c>
      <c r="I155" s="3">
        <v>389</v>
      </c>
      <c r="J155" s="3">
        <v>26761</v>
      </c>
      <c r="K155" s="3">
        <v>481</v>
      </c>
      <c r="L155" s="3">
        <v>701</v>
      </c>
      <c r="M155" s="3">
        <v>325</v>
      </c>
      <c r="N155" s="3">
        <v>291</v>
      </c>
      <c r="O155" s="3">
        <v>51</v>
      </c>
      <c r="P155" s="3">
        <v>75</v>
      </c>
      <c r="Q155" s="3">
        <v>23</v>
      </c>
    </row>
    <row r="156" spans="1:17" ht="9">
      <c r="A156" s="4" t="s">
        <v>23</v>
      </c>
      <c r="C156" s="3">
        <v>36255</v>
      </c>
      <c r="D156" s="3">
        <v>708</v>
      </c>
      <c r="E156" s="3">
        <v>326</v>
      </c>
      <c r="F156" s="3">
        <v>272</v>
      </c>
      <c r="G156" s="3">
        <v>2102</v>
      </c>
      <c r="H156" s="3">
        <v>317</v>
      </c>
      <c r="I156" s="3">
        <v>688</v>
      </c>
      <c r="J156" s="3">
        <v>54863</v>
      </c>
      <c r="K156" s="3">
        <v>919</v>
      </c>
      <c r="L156" s="3">
        <v>1632</v>
      </c>
      <c r="M156" s="3">
        <v>603</v>
      </c>
      <c r="N156" s="3">
        <v>513</v>
      </c>
      <c r="O156" s="3">
        <v>111</v>
      </c>
      <c r="P156" s="3">
        <v>153</v>
      </c>
      <c r="Q156" s="3">
        <v>50</v>
      </c>
    </row>
    <row r="157" spans="2:17" s="6" customFormat="1" ht="9">
      <c r="B157" s="10" t="s">
        <v>127</v>
      </c>
      <c r="C157" s="7">
        <f>C156/36255</f>
        <v>1</v>
      </c>
      <c r="D157" s="7">
        <f aca="true" t="shared" si="20" ref="D157:M157">D156/62430</f>
        <v>0.01134070158577607</v>
      </c>
      <c r="E157" s="7">
        <f t="shared" si="20"/>
        <v>0.005221848470286721</v>
      </c>
      <c r="F157" s="7">
        <f t="shared" si="20"/>
        <v>0.0043568797052699025</v>
      </c>
      <c r="G157" s="7">
        <f t="shared" si="20"/>
        <v>0.03366971007528432</v>
      </c>
      <c r="H157" s="7">
        <f t="shared" si="20"/>
        <v>0.005077687009450584</v>
      </c>
      <c r="I157" s="7">
        <f t="shared" si="20"/>
        <v>0.011020342783917988</v>
      </c>
      <c r="J157" s="7">
        <f t="shared" si="20"/>
        <v>0.878792247316995</v>
      </c>
      <c r="K157" s="7">
        <f t="shared" si="20"/>
        <v>0.014720486945378823</v>
      </c>
      <c r="L157" s="7">
        <f t="shared" si="20"/>
        <v>0.026141278231619415</v>
      </c>
      <c r="M157" s="7">
        <f t="shared" si="20"/>
        <v>0.009658817876021143</v>
      </c>
      <c r="N157" s="7">
        <f>N156/513</f>
        <v>1</v>
      </c>
      <c r="O157" s="7">
        <f>O156/264</f>
        <v>0.42045454545454547</v>
      </c>
      <c r="P157" s="7">
        <f>P156/264</f>
        <v>0.5795454545454546</v>
      </c>
      <c r="Q157" s="7">
        <f>Q156/50</f>
        <v>1</v>
      </c>
    </row>
    <row r="158" spans="2:17" ht="4.5" customHeight="1">
      <c r="B158" s="1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9">
      <c r="A159" s="5" t="s">
        <v>86</v>
      </c>
      <c r="B159" s="1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9">
      <c r="B160" s="9" t="s">
        <v>79</v>
      </c>
      <c r="C160" s="3">
        <v>24997</v>
      </c>
      <c r="D160" s="3">
        <v>3268</v>
      </c>
      <c r="E160" s="3">
        <v>619</v>
      </c>
      <c r="F160" s="3">
        <v>798</v>
      </c>
      <c r="G160" s="3">
        <v>8184</v>
      </c>
      <c r="H160" s="3">
        <v>1677</v>
      </c>
      <c r="I160" s="3">
        <v>1857</v>
      </c>
      <c r="J160" s="3">
        <v>24592</v>
      </c>
      <c r="K160" s="3">
        <v>3591</v>
      </c>
      <c r="L160" s="3">
        <v>4106</v>
      </c>
      <c r="M160" s="3">
        <v>3254</v>
      </c>
      <c r="N160" s="3">
        <v>731</v>
      </c>
      <c r="O160" s="3">
        <v>170</v>
      </c>
      <c r="P160" s="3">
        <v>187</v>
      </c>
      <c r="Q160" s="3">
        <v>32</v>
      </c>
    </row>
    <row r="161" spans="2:17" ht="9">
      <c r="B161" s="9" t="s">
        <v>84</v>
      </c>
      <c r="C161" s="3">
        <v>2116</v>
      </c>
      <c r="D161" s="3">
        <v>174</v>
      </c>
      <c r="E161" s="3">
        <v>79</v>
      </c>
      <c r="F161" s="3">
        <v>155</v>
      </c>
      <c r="G161" s="3">
        <v>1630</v>
      </c>
      <c r="H161" s="3">
        <v>110</v>
      </c>
      <c r="I161" s="3">
        <v>245</v>
      </c>
      <c r="J161" s="3">
        <v>2037</v>
      </c>
      <c r="K161" s="3">
        <v>305</v>
      </c>
      <c r="L161" s="3">
        <v>359</v>
      </c>
      <c r="M161" s="3">
        <v>364</v>
      </c>
      <c r="N161" s="3">
        <v>72</v>
      </c>
      <c r="O161" s="3">
        <v>22</v>
      </c>
      <c r="P161" s="3">
        <v>21</v>
      </c>
      <c r="Q161" s="3">
        <v>4</v>
      </c>
    </row>
    <row r="162" spans="2:17" ht="9">
      <c r="B162" s="9" t="s">
        <v>85</v>
      </c>
      <c r="C162" s="3">
        <v>10842</v>
      </c>
      <c r="D162" s="3">
        <v>602</v>
      </c>
      <c r="E162" s="3">
        <v>221</v>
      </c>
      <c r="F162" s="3">
        <v>229</v>
      </c>
      <c r="G162" s="3">
        <v>1517</v>
      </c>
      <c r="H162" s="3">
        <v>294</v>
      </c>
      <c r="I162" s="3">
        <v>350</v>
      </c>
      <c r="J162" s="3">
        <v>10983</v>
      </c>
      <c r="K162" s="3">
        <v>1131</v>
      </c>
      <c r="L162" s="3">
        <v>1886</v>
      </c>
      <c r="M162" s="3">
        <v>1187</v>
      </c>
      <c r="N162" s="3">
        <v>170</v>
      </c>
      <c r="O162" s="3">
        <v>86</v>
      </c>
      <c r="P162" s="3">
        <v>59</v>
      </c>
      <c r="Q162" s="3">
        <v>11</v>
      </c>
    </row>
    <row r="163" spans="1:17" ht="9">
      <c r="A163" s="4" t="s">
        <v>23</v>
      </c>
      <c r="C163" s="3">
        <v>37955</v>
      </c>
      <c r="D163" s="3">
        <v>4044</v>
      </c>
      <c r="E163" s="3">
        <v>919</v>
      </c>
      <c r="F163" s="3">
        <v>1182</v>
      </c>
      <c r="G163" s="3">
        <v>11331</v>
      </c>
      <c r="H163" s="3">
        <v>2081</v>
      </c>
      <c r="I163" s="3">
        <v>2452</v>
      </c>
      <c r="J163" s="3">
        <v>37612</v>
      </c>
      <c r="K163" s="3">
        <v>5027</v>
      </c>
      <c r="L163" s="3">
        <v>6351</v>
      </c>
      <c r="M163" s="3">
        <v>4805</v>
      </c>
      <c r="N163" s="3">
        <v>973</v>
      </c>
      <c r="O163" s="3">
        <v>278</v>
      </c>
      <c r="P163" s="3">
        <v>267</v>
      </c>
      <c r="Q163" s="3">
        <v>47</v>
      </c>
    </row>
    <row r="164" spans="2:17" s="6" customFormat="1" ht="9">
      <c r="B164" s="10" t="s">
        <v>127</v>
      </c>
      <c r="C164" s="7">
        <f>C163/37955</f>
        <v>1</v>
      </c>
      <c r="D164" s="7">
        <f aca="true" t="shared" si="21" ref="D164:M164">D163/75804</f>
        <v>0.05334810827924648</v>
      </c>
      <c r="E164" s="7">
        <f t="shared" si="21"/>
        <v>0.012123370798374757</v>
      </c>
      <c r="F164" s="7">
        <f t="shared" si="21"/>
        <v>0.01559284470476492</v>
      </c>
      <c r="G164" s="7">
        <f t="shared" si="21"/>
        <v>0.1494776001266424</v>
      </c>
      <c r="H164" s="7">
        <f t="shared" si="21"/>
        <v>0.027452377183262096</v>
      </c>
      <c r="I164" s="7">
        <f t="shared" si="21"/>
        <v>0.03234657801699119</v>
      </c>
      <c r="J164" s="7">
        <f t="shared" si="21"/>
        <v>0.4961743443617751</v>
      </c>
      <c r="K164" s="7">
        <f t="shared" si="21"/>
        <v>0.06631576170122949</v>
      </c>
      <c r="L164" s="7">
        <f t="shared" si="21"/>
        <v>0.08378185847712522</v>
      </c>
      <c r="M164" s="7">
        <f t="shared" si="21"/>
        <v>0.06338715635058836</v>
      </c>
      <c r="N164" s="7">
        <f>N163/973</f>
        <v>1</v>
      </c>
      <c r="O164" s="7">
        <f>O163/545</f>
        <v>0.5100917431192661</v>
      </c>
      <c r="P164" s="7">
        <f>P163/545</f>
        <v>0.48990825688073397</v>
      </c>
      <c r="Q164" s="7">
        <f>Q163/47</f>
        <v>1</v>
      </c>
    </row>
    <row r="165" spans="2:17" ht="4.5" customHeight="1">
      <c r="B165" s="1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9">
      <c r="A166" s="5" t="s">
        <v>89</v>
      </c>
      <c r="B166" s="1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9">
      <c r="B167" s="9" t="s">
        <v>85</v>
      </c>
      <c r="C167" s="3">
        <v>16261</v>
      </c>
      <c r="D167" s="3">
        <v>487</v>
      </c>
      <c r="E167" s="3">
        <v>165</v>
      </c>
      <c r="F167" s="3">
        <v>210</v>
      </c>
      <c r="G167" s="3">
        <v>1441</v>
      </c>
      <c r="H167" s="3">
        <v>297</v>
      </c>
      <c r="I167" s="3">
        <v>334</v>
      </c>
      <c r="J167" s="3">
        <v>8080</v>
      </c>
      <c r="K167" s="3">
        <v>921</v>
      </c>
      <c r="L167" s="3">
        <v>1336</v>
      </c>
      <c r="M167" s="3">
        <v>1040</v>
      </c>
      <c r="N167" s="3">
        <v>186</v>
      </c>
      <c r="O167" s="3">
        <v>137</v>
      </c>
      <c r="P167" s="3">
        <v>73</v>
      </c>
      <c r="Q167" s="3">
        <v>18</v>
      </c>
    </row>
    <row r="168" spans="2:17" ht="9">
      <c r="B168" s="9" t="s">
        <v>87</v>
      </c>
      <c r="C168" s="3">
        <v>32061</v>
      </c>
      <c r="D168" s="3">
        <v>577</v>
      </c>
      <c r="E168" s="3">
        <v>274</v>
      </c>
      <c r="F168" s="3">
        <v>344</v>
      </c>
      <c r="G168" s="3">
        <v>5413</v>
      </c>
      <c r="H168" s="3">
        <v>558</v>
      </c>
      <c r="I168" s="3">
        <v>623</v>
      </c>
      <c r="J168" s="3">
        <v>9123</v>
      </c>
      <c r="K168" s="3">
        <v>1246</v>
      </c>
      <c r="L168" s="3">
        <v>2251</v>
      </c>
      <c r="M168" s="3">
        <v>1136</v>
      </c>
      <c r="N168" s="3">
        <v>248</v>
      </c>
      <c r="O168" s="3">
        <v>106</v>
      </c>
      <c r="P168" s="3">
        <v>132</v>
      </c>
      <c r="Q168" s="3">
        <v>38</v>
      </c>
    </row>
    <row r="169" spans="2:17" ht="9">
      <c r="B169" s="9" t="s">
        <v>88</v>
      </c>
      <c r="C169" s="3">
        <v>14540</v>
      </c>
      <c r="D169" s="3">
        <v>375</v>
      </c>
      <c r="E169" s="3">
        <v>131</v>
      </c>
      <c r="F169" s="3">
        <v>174</v>
      </c>
      <c r="G169" s="3">
        <v>2993</v>
      </c>
      <c r="H169" s="3">
        <v>359</v>
      </c>
      <c r="I169" s="3">
        <v>357</v>
      </c>
      <c r="J169" s="3">
        <v>3006</v>
      </c>
      <c r="K169" s="3">
        <v>570</v>
      </c>
      <c r="L169" s="3">
        <v>875</v>
      </c>
      <c r="M169" s="3">
        <v>623</v>
      </c>
      <c r="N169" s="3">
        <v>182</v>
      </c>
      <c r="O169" s="3">
        <v>52</v>
      </c>
      <c r="P169" s="3">
        <v>61</v>
      </c>
      <c r="Q169" s="3">
        <v>31</v>
      </c>
    </row>
    <row r="170" spans="1:17" ht="9">
      <c r="A170" s="4" t="s">
        <v>23</v>
      </c>
      <c r="C170" s="3">
        <v>62862</v>
      </c>
      <c r="D170" s="3">
        <v>1439</v>
      </c>
      <c r="E170" s="3">
        <v>570</v>
      </c>
      <c r="F170" s="3">
        <v>728</v>
      </c>
      <c r="G170" s="3">
        <v>9847</v>
      </c>
      <c r="H170" s="3">
        <v>1214</v>
      </c>
      <c r="I170" s="3">
        <v>1314</v>
      </c>
      <c r="J170" s="3">
        <v>20209</v>
      </c>
      <c r="K170" s="3">
        <v>2737</v>
      </c>
      <c r="L170" s="3">
        <v>4462</v>
      </c>
      <c r="M170" s="3">
        <v>2799</v>
      </c>
      <c r="N170" s="3">
        <v>616</v>
      </c>
      <c r="O170" s="3">
        <v>295</v>
      </c>
      <c r="P170" s="3">
        <v>266</v>
      </c>
      <c r="Q170" s="3">
        <v>87</v>
      </c>
    </row>
    <row r="171" spans="2:17" s="6" customFormat="1" ht="9">
      <c r="B171" s="10" t="s">
        <v>127</v>
      </c>
      <c r="C171" s="7">
        <f>C170/62862</f>
        <v>1</v>
      </c>
      <c r="D171" s="7">
        <f aca="true" t="shared" si="22" ref="D171:M171">D170/45319</f>
        <v>0.031752686511176326</v>
      </c>
      <c r="E171" s="7">
        <f t="shared" si="22"/>
        <v>0.01257750612325956</v>
      </c>
      <c r="F171" s="7">
        <f t="shared" si="22"/>
        <v>0.016063902557426245</v>
      </c>
      <c r="G171" s="7">
        <f t="shared" si="22"/>
        <v>0.21728193472936297</v>
      </c>
      <c r="H171" s="7">
        <f t="shared" si="22"/>
        <v>0.02678788146252124</v>
      </c>
      <c r="I171" s="7">
        <f t="shared" si="22"/>
        <v>0.028994461484145723</v>
      </c>
      <c r="J171" s="7">
        <f t="shared" si="22"/>
        <v>0.44592775657009204</v>
      </c>
      <c r="K171" s="7">
        <f t="shared" si="22"/>
        <v>0.06039409519186213</v>
      </c>
      <c r="L171" s="7">
        <f t="shared" si="22"/>
        <v>0.09845760056488448</v>
      </c>
      <c r="M171" s="7">
        <f t="shared" si="22"/>
        <v>0.06176217480526931</v>
      </c>
      <c r="N171" s="7">
        <f>N170/616</f>
        <v>1</v>
      </c>
      <c r="O171" s="7">
        <f>O170/561</f>
        <v>0.5258467023172906</v>
      </c>
      <c r="P171" s="7">
        <f>P170/561</f>
        <v>0.4741532976827095</v>
      </c>
      <c r="Q171" s="7">
        <f>Q170/87</f>
        <v>1</v>
      </c>
    </row>
    <row r="172" spans="2:17" ht="4.5" customHeight="1"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9">
      <c r="A173" s="5" t="s">
        <v>90</v>
      </c>
      <c r="B173" s="1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9">
      <c r="B174" s="9" t="s">
        <v>87</v>
      </c>
      <c r="C174" s="3">
        <v>9028</v>
      </c>
      <c r="D174" s="3">
        <v>538</v>
      </c>
      <c r="E174" s="3">
        <v>165</v>
      </c>
      <c r="F174" s="3">
        <v>217</v>
      </c>
      <c r="G174" s="3">
        <v>2424</v>
      </c>
      <c r="H174" s="3">
        <v>258</v>
      </c>
      <c r="I174" s="3">
        <v>431</v>
      </c>
      <c r="J174" s="3">
        <v>7555</v>
      </c>
      <c r="K174" s="3">
        <v>851</v>
      </c>
      <c r="L174" s="3">
        <v>1360</v>
      </c>
      <c r="M174" s="3">
        <v>1154</v>
      </c>
      <c r="N174" s="3">
        <v>130</v>
      </c>
      <c r="O174" s="3">
        <v>64</v>
      </c>
      <c r="P174" s="3">
        <v>48</v>
      </c>
      <c r="Q174" s="3">
        <v>13</v>
      </c>
    </row>
    <row r="175" spans="2:17" ht="9">
      <c r="B175" s="9" t="s">
        <v>88</v>
      </c>
      <c r="C175" s="3">
        <v>45374</v>
      </c>
      <c r="D175" s="3">
        <v>1835</v>
      </c>
      <c r="E175" s="3">
        <v>730</v>
      </c>
      <c r="F175" s="3">
        <v>868</v>
      </c>
      <c r="G175" s="3">
        <v>19789</v>
      </c>
      <c r="H175" s="3">
        <v>1270</v>
      </c>
      <c r="I175" s="3">
        <v>2594</v>
      </c>
      <c r="J175" s="3">
        <v>21042</v>
      </c>
      <c r="K175" s="3">
        <v>2614</v>
      </c>
      <c r="L175" s="3">
        <v>4888</v>
      </c>
      <c r="M175" s="3">
        <v>3386</v>
      </c>
      <c r="N175" s="3">
        <v>663</v>
      </c>
      <c r="O175" s="3">
        <v>228</v>
      </c>
      <c r="P175" s="3">
        <v>329</v>
      </c>
      <c r="Q175" s="3">
        <v>68</v>
      </c>
    </row>
    <row r="176" spans="1:17" ht="9">
      <c r="A176" s="4" t="s">
        <v>23</v>
      </c>
      <c r="C176" s="3">
        <v>54402</v>
      </c>
      <c r="D176" s="3">
        <v>2373</v>
      </c>
      <c r="E176" s="3">
        <v>895</v>
      </c>
      <c r="F176" s="3">
        <v>1085</v>
      </c>
      <c r="G176" s="3">
        <v>22213</v>
      </c>
      <c r="H176" s="3">
        <v>1528</v>
      </c>
      <c r="I176" s="3">
        <v>3025</v>
      </c>
      <c r="J176" s="3">
        <v>28597</v>
      </c>
      <c r="K176" s="3">
        <v>3465</v>
      </c>
      <c r="L176" s="3">
        <v>6248</v>
      </c>
      <c r="M176" s="3">
        <v>4540</v>
      </c>
      <c r="N176" s="3">
        <v>793</v>
      </c>
      <c r="O176" s="3">
        <v>292</v>
      </c>
      <c r="P176" s="3">
        <v>377</v>
      </c>
      <c r="Q176" s="3">
        <v>81</v>
      </c>
    </row>
    <row r="177" spans="2:17" s="6" customFormat="1" ht="9">
      <c r="B177" s="10" t="s">
        <v>127</v>
      </c>
      <c r="C177" s="7">
        <f>C176/54402</f>
        <v>1</v>
      </c>
      <c r="D177" s="7">
        <f aca="true" t="shared" si="23" ref="D177:M177">D176/73969</f>
        <v>0.032081006908299424</v>
      </c>
      <c r="E177" s="7">
        <f t="shared" si="23"/>
        <v>0.012099663372493883</v>
      </c>
      <c r="F177" s="7">
        <f t="shared" si="23"/>
        <v>0.014668306993470237</v>
      </c>
      <c r="G177" s="7">
        <f t="shared" si="23"/>
        <v>0.3003014776460409</v>
      </c>
      <c r="H177" s="7">
        <f t="shared" si="23"/>
        <v>0.020657302383430897</v>
      </c>
      <c r="I177" s="7">
        <f t="shared" si="23"/>
        <v>0.04089551028133407</v>
      </c>
      <c r="J177" s="7">
        <f t="shared" si="23"/>
        <v>0.38660790331084643</v>
      </c>
      <c r="K177" s="7">
        <f t="shared" si="23"/>
        <v>0.04684394814043721</v>
      </c>
      <c r="L177" s="7">
        <f t="shared" si="23"/>
        <v>0.08446781759926456</v>
      </c>
      <c r="M177" s="7">
        <f t="shared" si="23"/>
        <v>0.061377063364382374</v>
      </c>
      <c r="N177" s="7">
        <f>N176/793</f>
        <v>1</v>
      </c>
      <c r="O177" s="7">
        <f>O176/669</f>
        <v>0.43647234678624813</v>
      </c>
      <c r="P177" s="7">
        <f>P176/669</f>
        <v>0.5635276532137519</v>
      </c>
      <c r="Q177" s="7">
        <f>Q176/81</f>
        <v>1</v>
      </c>
    </row>
    <row r="178" spans="2:17" ht="4.5" customHeight="1"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9">
      <c r="A179" s="5" t="s">
        <v>94</v>
      </c>
      <c r="B179" s="1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9">
      <c r="B180" s="9" t="s">
        <v>91</v>
      </c>
      <c r="C180" s="3">
        <v>1694</v>
      </c>
      <c r="D180" s="3">
        <v>118</v>
      </c>
      <c r="E180" s="3">
        <v>47</v>
      </c>
      <c r="F180" s="3">
        <v>56</v>
      </c>
      <c r="G180" s="3">
        <v>205</v>
      </c>
      <c r="H180" s="3">
        <v>54</v>
      </c>
      <c r="I180" s="3">
        <v>101</v>
      </c>
      <c r="J180" s="3">
        <v>1383</v>
      </c>
      <c r="K180" s="3">
        <v>226</v>
      </c>
      <c r="L180" s="3">
        <v>172</v>
      </c>
      <c r="M180" s="3">
        <v>173</v>
      </c>
      <c r="N180" s="3">
        <v>57</v>
      </c>
      <c r="O180" s="3">
        <v>15</v>
      </c>
      <c r="P180" s="3">
        <v>17</v>
      </c>
      <c r="Q180" s="3">
        <v>7</v>
      </c>
    </row>
    <row r="181" spans="2:17" ht="9">
      <c r="B181" s="9" t="s">
        <v>84</v>
      </c>
      <c r="C181" s="3">
        <v>17511</v>
      </c>
      <c r="D181" s="3">
        <v>1219</v>
      </c>
      <c r="E181" s="3">
        <v>489</v>
      </c>
      <c r="F181" s="3">
        <v>669</v>
      </c>
      <c r="G181" s="3">
        <v>12598</v>
      </c>
      <c r="H181" s="3">
        <v>811</v>
      </c>
      <c r="I181" s="3">
        <v>1262</v>
      </c>
      <c r="J181" s="3">
        <v>11623</v>
      </c>
      <c r="K181" s="3">
        <v>1871</v>
      </c>
      <c r="L181" s="3">
        <v>3008</v>
      </c>
      <c r="M181" s="3">
        <v>2081</v>
      </c>
      <c r="N181" s="3">
        <v>500</v>
      </c>
      <c r="O181" s="3">
        <v>105</v>
      </c>
      <c r="P181" s="3">
        <v>132</v>
      </c>
      <c r="Q181" s="3">
        <v>25</v>
      </c>
    </row>
    <row r="182" spans="2:17" ht="9">
      <c r="B182" s="9" t="s">
        <v>92</v>
      </c>
      <c r="C182" s="3">
        <v>1098</v>
      </c>
      <c r="D182" s="3">
        <v>58</v>
      </c>
      <c r="E182" s="3">
        <v>24</v>
      </c>
      <c r="F182" s="3">
        <v>29</v>
      </c>
      <c r="G182" s="3">
        <v>139</v>
      </c>
      <c r="H182" s="3">
        <v>25</v>
      </c>
      <c r="I182" s="3">
        <v>52</v>
      </c>
      <c r="J182" s="3">
        <v>578</v>
      </c>
      <c r="K182" s="3">
        <v>101</v>
      </c>
      <c r="L182" s="3">
        <v>117</v>
      </c>
      <c r="M182" s="3">
        <v>84</v>
      </c>
      <c r="N182" s="3">
        <v>25</v>
      </c>
      <c r="O182" s="3">
        <v>8</v>
      </c>
      <c r="P182" s="3">
        <v>10</v>
      </c>
      <c r="Q182" s="3">
        <v>3</v>
      </c>
    </row>
    <row r="183" spans="2:17" ht="9">
      <c r="B183" s="9" t="s">
        <v>93</v>
      </c>
      <c r="C183" s="3">
        <v>6807</v>
      </c>
      <c r="D183" s="3">
        <v>339</v>
      </c>
      <c r="E183" s="3">
        <v>112</v>
      </c>
      <c r="F183" s="3">
        <v>246</v>
      </c>
      <c r="G183" s="3">
        <v>2949</v>
      </c>
      <c r="H183" s="3">
        <v>134</v>
      </c>
      <c r="I183" s="3">
        <v>414</v>
      </c>
      <c r="J183" s="3">
        <v>3187</v>
      </c>
      <c r="K183" s="3">
        <v>584</v>
      </c>
      <c r="L183" s="3">
        <v>534</v>
      </c>
      <c r="M183" s="3">
        <v>461</v>
      </c>
      <c r="N183" s="3">
        <v>202</v>
      </c>
      <c r="O183" s="3">
        <v>35</v>
      </c>
      <c r="P183" s="3">
        <v>35</v>
      </c>
      <c r="Q183" s="3">
        <v>12</v>
      </c>
    </row>
    <row r="184" spans="1:17" ht="9">
      <c r="A184" s="4" t="s">
        <v>23</v>
      </c>
      <c r="C184" s="3">
        <v>27110</v>
      </c>
      <c r="D184" s="3">
        <v>1734</v>
      </c>
      <c r="E184" s="3">
        <v>672</v>
      </c>
      <c r="F184" s="3">
        <v>1000</v>
      </c>
      <c r="G184" s="3">
        <v>15891</v>
      </c>
      <c r="H184" s="3">
        <v>1024</v>
      </c>
      <c r="I184" s="3">
        <v>1829</v>
      </c>
      <c r="J184" s="3">
        <v>16771</v>
      </c>
      <c r="K184" s="3">
        <v>2782</v>
      </c>
      <c r="L184" s="3">
        <v>3831</v>
      </c>
      <c r="M184" s="3">
        <v>2799</v>
      </c>
      <c r="N184" s="3">
        <v>784</v>
      </c>
      <c r="O184" s="3">
        <v>163</v>
      </c>
      <c r="P184" s="3">
        <v>194</v>
      </c>
      <c r="Q184" s="3">
        <v>47</v>
      </c>
    </row>
    <row r="185" spans="2:17" s="6" customFormat="1" ht="9">
      <c r="B185" s="10" t="s">
        <v>127</v>
      </c>
      <c r="C185" s="7">
        <f>C184/27110</f>
        <v>1</v>
      </c>
      <c r="D185" s="7">
        <f aca="true" t="shared" si="24" ref="D185:M185">D184/48333</f>
        <v>0.03587610949041028</v>
      </c>
      <c r="E185" s="7">
        <f t="shared" si="24"/>
        <v>0.013903544162373533</v>
      </c>
      <c r="F185" s="7">
        <f t="shared" si="24"/>
        <v>0.020689797860674902</v>
      </c>
      <c r="G185" s="7">
        <f t="shared" si="24"/>
        <v>0.32878157780398487</v>
      </c>
      <c r="H185" s="7">
        <f t="shared" si="24"/>
        <v>0.0211863530093311</v>
      </c>
      <c r="I185" s="7">
        <f t="shared" si="24"/>
        <v>0.03784164028717439</v>
      </c>
      <c r="J185" s="7">
        <f t="shared" si="24"/>
        <v>0.34698859992137876</v>
      </c>
      <c r="K185" s="7">
        <f t="shared" si="24"/>
        <v>0.057559017648397576</v>
      </c>
      <c r="L185" s="7">
        <f t="shared" si="24"/>
        <v>0.07926261560424555</v>
      </c>
      <c r="M185" s="7">
        <f t="shared" si="24"/>
        <v>0.05791074421202905</v>
      </c>
      <c r="N185" s="7">
        <f>N184/784</f>
        <v>1</v>
      </c>
      <c r="O185" s="7">
        <f>O184/357</f>
        <v>0.4565826330532213</v>
      </c>
      <c r="P185" s="7">
        <f>P184/357</f>
        <v>0.5434173669467787</v>
      </c>
      <c r="Q185" s="7">
        <f>Q184/47</f>
        <v>1</v>
      </c>
    </row>
    <row r="186" spans="2:17" ht="4.5" customHeight="1">
      <c r="B186" s="1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9">
      <c r="A187" s="5" t="s">
        <v>95</v>
      </c>
      <c r="B187" s="1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9">
      <c r="B188" s="9" t="s">
        <v>84</v>
      </c>
      <c r="C188" s="3">
        <v>19467</v>
      </c>
      <c r="D188" s="3">
        <v>1106</v>
      </c>
      <c r="E188" s="3">
        <v>571</v>
      </c>
      <c r="F188" s="3">
        <v>429</v>
      </c>
      <c r="G188" s="3">
        <v>11723</v>
      </c>
      <c r="H188" s="3">
        <v>884</v>
      </c>
      <c r="I188" s="3">
        <v>1315</v>
      </c>
      <c r="J188" s="3">
        <v>16828</v>
      </c>
      <c r="K188" s="3">
        <v>2055</v>
      </c>
      <c r="L188" s="3">
        <v>3512</v>
      </c>
      <c r="M188" s="3">
        <v>2091</v>
      </c>
      <c r="N188" s="3">
        <v>359</v>
      </c>
      <c r="O188" s="3">
        <v>106</v>
      </c>
      <c r="P188" s="3">
        <v>149</v>
      </c>
      <c r="Q188" s="3">
        <v>37</v>
      </c>
    </row>
    <row r="189" spans="2:17" ht="9">
      <c r="B189" s="9" t="s">
        <v>93</v>
      </c>
      <c r="C189" s="3">
        <v>13036</v>
      </c>
      <c r="D189" s="3">
        <v>826</v>
      </c>
      <c r="E189" s="3">
        <v>229</v>
      </c>
      <c r="F189" s="3">
        <v>282</v>
      </c>
      <c r="G189" s="3">
        <v>6079</v>
      </c>
      <c r="H189" s="3">
        <v>486</v>
      </c>
      <c r="I189" s="3">
        <v>769</v>
      </c>
      <c r="J189" s="3">
        <v>6925</v>
      </c>
      <c r="K189" s="3">
        <v>1070</v>
      </c>
      <c r="L189" s="3">
        <v>1528</v>
      </c>
      <c r="M189" s="3">
        <v>2081</v>
      </c>
      <c r="N189" s="3">
        <v>207</v>
      </c>
      <c r="O189" s="3">
        <v>56</v>
      </c>
      <c r="P189" s="3">
        <v>57</v>
      </c>
      <c r="Q189" s="3">
        <v>27</v>
      </c>
    </row>
    <row r="190" spans="1:17" ht="9">
      <c r="A190" s="4" t="s">
        <v>23</v>
      </c>
      <c r="C190" s="3">
        <v>32503</v>
      </c>
      <c r="D190" s="3">
        <v>1932</v>
      </c>
      <c r="E190" s="3">
        <v>800</v>
      </c>
      <c r="F190" s="3">
        <v>711</v>
      </c>
      <c r="G190" s="3">
        <v>17802</v>
      </c>
      <c r="H190" s="3">
        <v>1370</v>
      </c>
      <c r="I190" s="3">
        <v>2084</v>
      </c>
      <c r="J190" s="3">
        <v>23753</v>
      </c>
      <c r="K190" s="3">
        <v>3125</v>
      </c>
      <c r="L190" s="3">
        <v>5040</v>
      </c>
      <c r="M190" s="3">
        <v>4172</v>
      </c>
      <c r="N190" s="3">
        <v>566</v>
      </c>
      <c r="O190" s="3">
        <v>162</v>
      </c>
      <c r="P190" s="3">
        <v>206</v>
      </c>
      <c r="Q190" s="3">
        <v>64</v>
      </c>
    </row>
    <row r="191" spans="2:17" s="6" customFormat="1" ht="9">
      <c r="B191" s="10" t="s">
        <v>127</v>
      </c>
      <c r="C191" s="7">
        <f>C190/32503</f>
        <v>1</v>
      </c>
      <c r="D191" s="7">
        <f aca="true" t="shared" si="25" ref="D191:M191">D190/60789</f>
        <v>0.03178206583427923</v>
      </c>
      <c r="E191" s="7">
        <f t="shared" si="25"/>
        <v>0.013160275707776078</v>
      </c>
      <c r="F191" s="7">
        <f t="shared" si="25"/>
        <v>0.011696195035285989</v>
      </c>
      <c r="G191" s="7">
        <f t="shared" si="25"/>
        <v>0.29284903518728717</v>
      </c>
      <c r="H191" s="7">
        <f t="shared" si="25"/>
        <v>0.022536972149566535</v>
      </c>
      <c r="I191" s="7">
        <f t="shared" si="25"/>
        <v>0.034282518218756684</v>
      </c>
      <c r="J191" s="7">
        <f t="shared" si="25"/>
        <v>0.39074503610850647</v>
      </c>
      <c r="K191" s="7">
        <f t="shared" si="25"/>
        <v>0.051407326983500305</v>
      </c>
      <c r="L191" s="7">
        <f t="shared" si="25"/>
        <v>0.08290973695898929</v>
      </c>
      <c r="M191" s="7">
        <f t="shared" si="25"/>
        <v>0.06863083781605224</v>
      </c>
      <c r="N191" s="7">
        <f>N190/566</f>
        <v>1</v>
      </c>
      <c r="O191" s="7">
        <f>O190/368</f>
        <v>0.44021739130434784</v>
      </c>
      <c r="P191" s="7">
        <f>P190/368</f>
        <v>0.5597826086956522</v>
      </c>
      <c r="Q191" s="7">
        <f>Q190/64</f>
        <v>1</v>
      </c>
    </row>
    <row r="192" spans="2:17" ht="4.5" customHeight="1"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9">
      <c r="A193" s="5" t="s">
        <v>96</v>
      </c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9">
      <c r="B194" s="9" t="s">
        <v>84</v>
      </c>
      <c r="C194" s="3">
        <v>31679</v>
      </c>
      <c r="D194" s="3">
        <v>1110</v>
      </c>
      <c r="E194" s="3">
        <v>505</v>
      </c>
      <c r="F194" s="3">
        <v>432</v>
      </c>
      <c r="G194" s="3">
        <v>10391</v>
      </c>
      <c r="H194" s="3">
        <v>899</v>
      </c>
      <c r="I194" s="3">
        <v>741</v>
      </c>
      <c r="J194" s="3">
        <v>9790</v>
      </c>
      <c r="K194" s="3">
        <v>1736</v>
      </c>
      <c r="L194" s="3">
        <v>2992</v>
      </c>
      <c r="M194" s="3">
        <v>2124</v>
      </c>
      <c r="N194" s="3">
        <v>506</v>
      </c>
      <c r="O194" s="3">
        <v>142</v>
      </c>
      <c r="P194" s="3">
        <v>242</v>
      </c>
      <c r="Q194" s="3">
        <v>70</v>
      </c>
    </row>
    <row r="195" spans="1:17" ht="9">
      <c r="A195" s="4" t="s">
        <v>23</v>
      </c>
      <c r="C195" s="3">
        <v>31679</v>
      </c>
      <c r="D195" s="3">
        <v>1110</v>
      </c>
      <c r="E195" s="3">
        <v>505</v>
      </c>
      <c r="F195" s="3">
        <v>432</v>
      </c>
      <c r="G195" s="3">
        <v>10391</v>
      </c>
      <c r="H195" s="3">
        <v>899</v>
      </c>
      <c r="I195" s="3">
        <v>741</v>
      </c>
      <c r="J195" s="3">
        <v>9790</v>
      </c>
      <c r="K195" s="3">
        <v>1736</v>
      </c>
      <c r="L195" s="3">
        <v>2992</v>
      </c>
      <c r="M195" s="3">
        <v>2124</v>
      </c>
      <c r="N195" s="3">
        <v>506</v>
      </c>
      <c r="O195" s="3">
        <v>142</v>
      </c>
      <c r="P195" s="3">
        <v>242</v>
      </c>
      <c r="Q195" s="3">
        <v>70</v>
      </c>
    </row>
    <row r="196" spans="2:17" s="6" customFormat="1" ht="9">
      <c r="B196" s="10" t="s">
        <v>127</v>
      </c>
      <c r="C196" s="7">
        <f>C195/31679</f>
        <v>1</v>
      </c>
      <c r="D196" s="7">
        <f aca="true" t="shared" si="26" ref="D196:M196">D195/30720</f>
        <v>0.0361328125</v>
      </c>
      <c r="E196" s="7">
        <f t="shared" si="26"/>
        <v>0.016438802083333332</v>
      </c>
      <c r="F196" s="7">
        <f t="shared" si="26"/>
        <v>0.0140625</v>
      </c>
      <c r="G196" s="7">
        <f t="shared" si="26"/>
        <v>0.3382486979166667</v>
      </c>
      <c r="H196" s="7">
        <f t="shared" si="26"/>
        <v>0.029264322916666665</v>
      </c>
      <c r="I196" s="7">
        <f t="shared" si="26"/>
        <v>0.02412109375</v>
      </c>
      <c r="J196" s="7">
        <f t="shared" si="26"/>
        <v>0.3186848958333333</v>
      </c>
      <c r="K196" s="7">
        <f t="shared" si="26"/>
        <v>0.05651041666666667</v>
      </c>
      <c r="L196" s="7">
        <f t="shared" si="26"/>
        <v>0.09739583333333333</v>
      </c>
      <c r="M196" s="7">
        <f t="shared" si="26"/>
        <v>0.069140625</v>
      </c>
      <c r="N196" s="7">
        <f>N195/506</f>
        <v>1</v>
      </c>
      <c r="O196" s="7">
        <f>O195/384</f>
        <v>0.3697916666666667</v>
      </c>
      <c r="P196" s="7">
        <f>P195/384</f>
        <v>0.6302083333333334</v>
      </c>
      <c r="Q196" s="7">
        <f>Q195/70</f>
        <v>1</v>
      </c>
    </row>
    <row r="197" spans="2:17" ht="4.5" customHeight="1">
      <c r="B197" s="1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9">
      <c r="A198" s="5" t="s">
        <v>97</v>
      </c>
      <c r="B198" s="1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9">
      <c r="B199" s="9" t="s">
        <v>84</v>
      </c>
      <c r="C199" s="3">
        <v>29708</v>
      </c>
      <c r="D199" s="3">
        <v>610</v>
      </c>
      <c r="E199" s="3">
        <v>203</v>
      </c>
      <c r="F199" s="3">
        <v>229</v>
      </c>
      <c r="G199" s="3">
        <v>4779</v>
      </c>
      <c r="H199" s="3">
        <v>391</v>
      </c>
      <c r="I199" s="3">
        <v>316</v>
      </c>
      <c r="J199" s="3">
        <v>5213</v>
      </c>
      <c r="K199" s="3">
        <v>919</v>
      </c>
      <c r="L199" s="3">
        <v>1301</v>
      </c>
      <c r="M199" s="3">
        <v>984</v>
      </c>
      <c r="N199" s="3">
        <v>322</v>
      </c>
      <c r="O199" s="3">
        <v>91</v>
      </c>
      <c r="P199" s="3">
        <v>137</v>
      </c>
      <c r="Q199" s="3">
        <v>65</v>
      </c>
    </row>
    <row r="200" spans="1:17" ht="9">
      <c r="A200" s="4" t="s">
        <v>23</v>
      </c>
      <c r="C200" s="3">
        <v>29708</v>
      </c>
      <c r="D200" s="3">
        <v>610</v>
      </c>
      <c r="E200" s="3">
        <v>203</v>
      </c>
      <c r="F200" s="3">
        <v>229</v>
      </c>
      <c r="G200" s="3">
        <v>4779</v>
      </c>
      <c r="H200" s="3">
        <v>391</v>
      </c>
      <c r="I200" s="3">
        <v>316</v>
      </c>
      <c r="J200" s="3">
        <v>5213</v>
      </c>
      <c r="K200" s="3">
        <v>919</v>
      </c>
      <c r="L200" s="3">
        <v>1301</v>
      </c>
      <c r="M200" s="3">
        <v>984</v>
      </c>
      <c r="N200" s="3">
        <v>322</v>
      </c>
      <c r="O200" s="3">
        <v>91</v>
      </c>
      <c r="P200" s="3">
        <v>137</v>
      </c>
      <c r="Q200" s="3">
        <v>65</v>
      </c>
    </row>
    <row r="201" spans="2:17" s="6" customFormat="1" ht="9">
      <c r="B201" s="10" t="s">
        <v>127</v>
      </c>
      <c r="C201" s="7">
        <f>C200/29708</f>
        <v>1</v>
      </c>
      <c r="D201" s="7">
        <f aca="true" t="shared" si="27" ref="D201:M201">D200/14945</f>
        <v>0.04081632653061224</v>
      </c>
      <c r="E201" s="7">
        <f t="shared" si="27"/>
        <v>0.013583138173302109</v>
      </c>
      <c r="F201" s="7">
        <f t="shared" si="27"/>
        <v>0.015322850451656073</v>
      </c>
      <c r="G201" s="7">
        <f t="shared" si="27"/>
        <v>0.31977249916359984</v>
      </c>
      <c r="H201" s="7">
        <f t="shared" si="27"/>
        <v>0.02616259618601539</v>
      </c>
      <c r="I201" s="7">
        <f t="shared" si="27"/>
        <v>0.02114419538307126</v>
      </c>
      <c r="J201" s="7">
        <f t="shared" si="27"/>
        <v>0.3488123118099699</v>
      </c>
      <c r="K201" s="7">
        <f t="shared" si="27"/>
        <v>0.06149213783874206</v>
      </c>
      <c r="L201" s="7">
        <f t="shared" si="27"/>
        <v>0.08705252592840415</v>
      </c>
      <c r="M201" s="7">
        <f t="shared" si="27"/>
        <v>0.06584141853462697</v>
      </c>
      <c r="N201" s="7">
        <f>N200/322</f>
        <v>1</v>
      </c>
      <c r="O201" s="7">
        <f>O200/228</f>
        <v>0.3991228070175439</v>
      </c>
      <c r="P201" s="7">
        <f>P200/228</f>
        <v>0.6008771929824561</v>
      </c>
      <c r="Q201" s="7">
        <f>Q200/65</f>
        <v>1</v>
      </c>
    </row>
    <row r="202" spans="2:17" ht="4.5" customHeight="1">
      <c r="B202" s="1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9">
      <c r="A203" s="5" t="s">
        <v>98</v>
      </c>
      <c r="B203" s="1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9">
      <c r="B204" s="9" t="s">
        <v>84</v>
      </c>
      <c r="C204" s="3">
        <v>30024</v>
      </c>
      <c r="D204" s="3">
        <v>810</v>
      </c>
      <c r="E204" s="3">
        <v>329</v>
      </c>
      <c r="F204" s="3">
        <v>480</v>
      </c>
      <c r="G204" s="3">
        <v>10326</v>
      </c>
      <c r="H204" s="3">
        <v>541</v>
      </c>
      <c r="I204" s="3">
        <v>889</v>
      </c>
      <c r="J204" s="3">
        <v>13188</v>
      </c>
      <c r="K204" s="3">
        <v>1719</v>
      </c>
      <c r="L204" s="3">
        <v>3615</v>
      </c>
      <c r="M204" s="3">
        <v>2019</v>
      </c>
      <c r="N204" s="3">
        <v>439</v>
      </c>
      <c r="O204" s="3">
        <v>120</v>
      </c>
      <c r="P204" s="3">
        <v>184</v>
      </c>
      <c r="Q204" s="3">
        <v>65</v>
      </c>
    </row>
    <row r="205" spans="1:17" ht="9">
      <c r="A205" s="4" t="s">
        <v>23</v>
      </c>
      <c r="C205" s="3">
        <v>30024</v>
      </c>
      <c r="D205" s="3">
        <v>810</v>
      </c>
      <c r="E205" s="3">
        <v>329</v>
      </c>
      <c r="F205" s="3">
        <v>480</v>
      </c>
      <c r="G205" s="3">
        <v>10326</v>
      </c>
      <c r="H205" s="3">
        <v>541</v>
      </c>
      <c r="I205" s="3">
        <v>889</v>
      </c>
      <c r="J205" s="3">
        <v>13188</v>
      </c>
      <c r="K205" s="3">
        <v>1719</v>
      </c>
      <c r="L205" s="3">
        <v>3615</v>
      </c>
      <c r="M205" s="3">
        <v>2019</v>
      </c>
      <c r="N205" s="3">
        <v>439</v>
      </c>
      <c r="O205" s="3">
        <v>120</v>
      </c>
      <c r="P205" s="3">
        <v>184</v>
      </c>
      <c r="Q205" s="3">
        <v>65</v>
      </c>
    </row>
    <row r="206" spans="2:17" s="6" customFormat="1" ht="9">
      <c r="B206" s="10" t="s">
        <v>127</v>
      </c>
      <c r="C206" s="7">
        <f>C205/30024</f>
        <v>1</v>
      </c>
      <c r="D206" s="7">
        <f aca="true" t="shared" si="28" ref="D206:M206">D205/33916</f>
        <v>0.023882533317608208</v>
      </c>
      <c r="E206" s="7">
        <f t="shared" si="28"/>
        <v>0.009700436372213704</v>
      </c>
      <c r="F206" s="7">
        <f t="shared" si="28"/>
        <v>0.01415261233636042</v>
      </c>
      <c r="G206" s="7">
        <f t="shared" si="28"/>
        <v>0.30445807288595356</v>
      </c>
      <c r="H206" s="7">
        <f t="shared" si="28"/>
        <v>0.015951173487439557</v>
      </c>
      <c r="I206" s="7">
        <f t="shared" si="28"/>
        <v>0.02621181743130086</v>
      </c>
      <c r="J206" s="7">
        <f t="shared" si="28"/>
        <v>0.38884302394150255</v>
      </c>
      <c r="K206" s="7">
        <f t="shared" si="28"/>
        <v>0.05068404292959075</v>
      </c>
      <c r="L206" s="7">
        <f t="shared" si="28"/>
        <v>0.10658686165821442</v>
      </c>
      <c r="M206" s="7">
        <f t="shared" si="28"/>
        <v>0.05952942563981602</v>
      </c>
      <c r="N206" s="7">
        <f>N205/439</f>
        <v>1</v>
      </c>
      <c r="O206" s="7">
        <f>O205/304</f>
        <v>0.39473684210526316</v>
      </c>
      <c r="P206" s="7">
        <f>P205/304</f>
        <v>0.6052631578947368</v>
      </c>
      <c r="Q206" s="7">
        <f>Q205/65</f>
        <v>1</v>
      </c>
    </row>
    <row r="207" spans="2:17" ht="4.5" customHeight="1"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9">
      <c r="A208" s="5" t="s">
        <v>99</v>
      </c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9">
      <c r="B209" s="9" t="s">
        <v>84</v>
      </c>
      <c r="C209" s="3">
        <v>61058</v>
      </c>
      <c r="D209" s="3">
        <v>1419</v>
      </c>
      <c r="E209" s="3">
        <v>492</v>
      </c>
      <c r="F209" s="3">
        <v>510</v>
      </c>
      <c r="G209" s="3">
        <v>11802</v>
      </c>
      <c r="H209" s="3">
        <v>1542</v>
      </c>
      <c r="I209" s="3">
        <v>952</v>
      </c>
      <c r="J209" s="3">
        <v>13009</v>
      </c>
      <c r="K209" s="3">
        <v>1968</v>
      </c>
      <c r="L209" s="3">
        <v>3252</v>
      </c>
      <c r="M209" s="3">
        <v>1973</v>
      </c>
      <c r="N209" s="3">
        <v>427</v>
      </c>
      <c r="O209" s="3">
        <v>176</v>
      </c>
      <c r="P209" s="3">
        <v>275</v>
      </c>
      <c r="Q209" s="3">
        <v>94</v>
      </c>
    </row>
    <row r="210" spans="1:17" ht="9">
      <c r="A210" s="4" t="s">
        <v>23</v>
      </c>
      <c r="C210" s="3">
        <v>61058</v>
      </c>
      <c r="D210" s="3">
        <v>1419</v>
      </c>
      <c r="E210" s="3">
        <v>492</v>
      </c>
      <c r="F210" s="3">
        <v>510</v>
      </c>
      <c r="G210" s="3">
        <v>11802</v>
      </c>
      <c r="H210" s="3">
        <v>1542</v>
      </c>
      <c r="I210" s="3">
        <v>952</v>
      </c>
      <c r="J210" s="3">
        <v>13009</v>
      </c>
      <c r="K210" s="3">
        <v>1968</v>
      </c>
      <c r="L210" s="3">
        <v>3252</v>
      </c>
      <c r="M210" s="3">
        <v>1973</v>
      </c>
      <c r="N210" s="3">
        <v>427</v>
      </c>
      <c r="O210" s="3">
        <v>176</v>
      </c>
      <c r="P210" s="3">
        <v>275</v>
      </c>
      <c r="Q210" s="3">
        <v>94</v>
      </c>
    </row>
    <row r="211" spans="2:17" s="6" customFormat="1" ht="9">
      <c r="B211" s="10" t="s">
        <v>127</v>
      </c>
      <c r="C211" s="7">
        <f>C210/61058</f>
        <v>1</v>
      </c>
      <c r="D211" s="7">
        <f aca="true" t="shared" si="29" ref="D211:M211">D210/36919</f>
        <v>0.03843549391912024</v>
      </c>
      <c r="E211" s="7">
        <f t="shared" si="29"/>
        <v>0.013326471464557545</v>
      </c>
      <c r="F211" s="7">
        <f t="shared" si="29"/>
        <v>0.013814025298626723</v>
      </c>
      <c r="G211" s="7">
        <f t="shared" si="29"/>
        <v>0.31967279720469133</v>
      </c>
      <c r="H211" s="7">
        <f t="shared" si="29"/>
        <v>0.041767111785259624</v>
      </c>
      <c r="I211" s="7">
        <f t="shared" si="29"/>
        <v>0.02578618055743655</v>
      </c>
      <c r="J211" s="7">
        <f t="shared" si="29"/>
        <v>0.3523659904114413</v>
      </c>
      <c r="K211" s="7">
        <f t="shared" si="29"/>
        <v>0.05330588585823018</v>
      </c>
      <c r="L211" s="7">
        <f t="shared" si="29"/>
        <v>0.08808472602183158</v>
      </c>
      <c r="M211" s="7">
        <f t="shared" si="29"/>
        <v>0.05344131747880495</v>
      </c>
      <c r="N211" s="7">
        <f>N210/427</f>
        <v>1</v>
      </c>
      <c r="O211" s="7">
        <f>O210/451</f>
        <v>0.3902439024390244</v>
      </c>
      <c r="P211" s="7">
        <f>P210/451</f>
        <v>0.6097560975609756</v>
      </c>
      <c r="Q211" s="7">
        <f>Q210/94</f>
        <v>1</v>
      </c>
    </row>
    <row r="212" spans="2:17" ht="4.5" customHeight="1">
      <c r="B212" s="1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9">
      <c r="A213" s="5" t="s">
        <v>100</v>
      </c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9">
      <c r="B214" s="9" t="s">
        <v>84</v>
      </c>
      <c r="C214" s="3">
        <v>20299</v>
      </c>
      <c r="D214" s="3">
        <v>217</v>
      </c>
      <c r="E214" s="3">
        <v>95</v>
      </c>
      <c r="F214" s="3">
        <v>185</v>
      </c>
      <c r="G214" s="3">
        <v>2474</v>
      </c>
      <c r="H214" s="3">
        <v>146</v>
      </c>
      <c r="I214" s="3">
        <v>284</v>
      </c>
      <c r="J214" s="3">
        <v>2310</v>
      </c>
      <c r="K214" s="3">
        <v>416</v>
      </c>
      <c r="L214" s="3">
        <v>694</v>
      </c>
      <c r="M214" s="3">
        <v>393</v>
      </c>
      <c r="N214" s="3">
        <v>277</v>
      </c>
      <c r="O214" s="3">
        <v>55</v>
      </c>
      <c r="P214" s="3">
        <v>85</v>
      </c>
      <c r="Q214" s="3">
        <v>106</v>
      </c>
    </row>
    <row r="215" spans="1:17" ht="9">
      <c r="A215" s="4" t="s">
        <v>23</v>
      </c>
      <c r="C215" s="3">
        <v>20299</v>
      </c>
      <c r="D215" s="3">
        <v>217</v>
      </c>
      <c r="E215" s="3">
        <v>95</v>
      </c>
      <c r="F215" s="3">
        <v>185</v>
      </c>
      <c r="G215" s="3">
        <v>2474</v>
      </c>
      <c r="H215" s="3">
        <v>146</v>
      </c>
      <c r="I215" s="3">
        <v>284</v>
      </c>
      <c r="J215" s="3">
        <v>2310</v>
      </c>
      <c r="K215" s="3">
        <v>416</v>
      </c>
      <c r="L215" s="3">
        <v>694</v>
      </c>
      <c r="M215" s="3">
        <v>393</v>
      </c>
      <c r="N215" s="3">
        <v>277</v>
      </c>
      <c r="O215" s="3">
        <v>55</v>
      </c>
      <c r="P215" s="3">
        <v>85</v>
      </c>
      <c r="Q215" s="3">
        <v>106</v>
      </c>
    </row>
    <row r="216" spans="2:17" s="6" customFormat="1" ht="9">
      <c r="B216" s="10" t="s">
        <v>127</v>
      </c>
      <c r="C216" s="7">
        <f>C215/20299</f>
        <v>1</v>
      </c>
      <c r="D216" s="7">
        <f aca="true" t="shared" si="30" ref="D216:M216">D215/7214</f>
        <v>0.030080399223731635</v>
      </c>
      <c r="E216" s="7">
        <f t="shared" si="30"/>
        <v>0.01316883836983643</v>
      </c>
      <c r="F216" s="7">
        <f t="shared" si="30"/>
        <v>0.025644579983365678</v>
      </c>
      <c r="G216" s="7">
        <f t="shared" si="30"/>
        <v>0.3429442750207929</v>
      </c>
      <c r="H216" s="7">
        <f t="shared" si="30"/>
        <v>0.02023842528416967</v>
      </c>
      <c r="I216" s="7">
        <f t="shared" si="30"/>
        <v>0.03936789575824785</v>
      </c>
      <c r="J216" s="7">
        <f t="shared" si="30"/>
        <v>0.3202107014139174</v>
      </c>
      <c r="K216" s="7">
        <f t="shared" si="30"/>
        <v>0.05766565012475742</v>
      </c>
      <c r="L216" s="7">
        <f t="shared" si="30"/>
        <v>0.09620182977543665</v>
      </c>
      <c r="M216" s="7">
        <f t="shared" si="30"/>
        <v>0.05447740504574439</v>
      </c>
      <c r="N216" s="7">
        <f>N215/277</f>
        <v>1</v>
      </c>
      <c r="O216" s="7">
        <f>O215/140</f>
        <v>0.39285714285714285</v>
      </c>
      <c r="P216" s="7">
        <f>P215/140</f>
        <v>0.6071428571428571</v>
      </c>
      <c r="Q216" s="7">
        <f>Q215/106</f>
        <v>1</v>
      </c>
    </row>
    <row r="217" spans="2:17" ht="4.5" customHeight="1">
      <c r="B217" s="1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9">
      <c r="A218" s="5" t="s">
        <v>101</v>
      </c>
      <c r="B218" s="1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9">
      <c r="B219" s="9" t="s">
        <v>84</v>
      </c>
      <c r="C219" s="3">
        <v>20984</v>
      </c>
      <c r="D219" s="3">
        <v>543</v>
      </c>
      <c r="E219" s="3">
        <v>223</v>
      </c>
      <c r="F219" s="3">
        <v>318</v>
      </c>
      <c r="G219" s="3">
        <v>5163</v>
      </c>
      <c r="H219" s="3">
        <v>305</v>
      </c>
      <c r="I219" s="3">
        <v>1026</v>
      </c>
      <c r="J219" s="3">
        <v>5867</v>
      </c>
      <c r="K219" s="3">
        <v>822</v>
      </c>
      <c r="L219" s="3">
        <v>1138</v>
      </c>
      <c r="M219" s="3">
        <v>950</v>
      </c>
      <c r="N219" s="3">
        <v>364</v>
      </c>
      <c r="O219" s="3">
        <v>43</v>
      </c>
      <c r="P219" s="3">
        <v>53</v>
      </c>
      <c r="Q219" s="3">
        <v>79</v>
      </c>
    </row>
    <row r="220" spans="1:17" ht="9">
      <c r="A220" s="4" t="s">
        <v>23</v>
      </c>
      <c r="C220" s="3">
        <v>20984</v>
      </c>
      <c r="D220" s="3">
        <v>543</v>
      </c>
      <c r="E220" s="3">
        <v>223</v>
      </c>
      <c r="F220" s="3">
        <v>318</v>
      </c>
      <c r="G220" s="3">
        <v>5163</v>
      </c>
      <c r="H220" s="3">
        <v>305</v>
      </c>
      <c r="I220" s="3">
        <v>1026</v>
      </c>
      <c r="J220" s="3">
        <v>5867</v>
      </c>
      <c r="K220" s="3">
        <v>822</v>
      </c>
      <c r="L220" s="3">
        <v>1138</v>
      </c>
      <c r="M220" s="3">
        <v>950</v>
      </c>
      <c r="N220" s="3">
        <v>364</v>
      </c>
      <c r="O220" s="3">
        <v>43</v>
      </c>
      <c r="P220" s="3">
        <v>53</v>
      </c>
      <c r="Q220" s="3">
        <v>79</v>
      </c>
    </row>
    <row r="221" spans="2:17" s="6" customFormat="1" ht="9">
      <c r="B221" s="10" t="s">
        <v>127</v>
      </c>
      <c r="C221" s="7">
        <f>C220/20984</f>
        <v>1</v>
      </c>
      <c r="D221" s="7">
        <f aca="true" t="shared" si="31" ref="D221:M221">D220/16355</f>
        <v>0.03320085600733721</v>
      </c>
      <c r="E221" s="7">
        <f t="shared" si="31"/>
        <v>0.013634974014062978</v>
      </c>
      <c r="F221" s="7">
        <f t="shared" si="31"/>
        <v>0.019443595230816263</v>
      </c>
      <c r="G221" s="7">
        <f t="shared" si="31"/>
        <v>0.3156832772852339</v>
      </c>
      <c r="H221" s="7">
        <f t="shared" si="31"/>
        <v>0.0186487312748395</v>
      </c>
      <c r="I221" s="7">
        <f t="shared" si="31"/>
        <v>0.0627331091409355</v>
      </c>
      <c r="J221" s="7">
        <f t="shared" si="31"/>
        <v>0.35872821767043717</v>
      </c>
      <c r="K221" s="7">
        <f t="shared" si="31"/>
        <v>0.050259859370223176</v>
      </c>
      <c r="L221" s="7">
        <f t="shared" si="31"/>
        <v>0.06958116783858147</v>
      </c>
      <c r="M221" s="7">
        <f t="shared" si="31"/>
        <v>0.05808621216753287</v>
      </c>
      <c r="N221" s="7">
        <f>N220/364</f>
        <v>1</v>
      </c>
      <c r="O221" s="7">
        <f>O220/96</f>
        <v>0.4479166666666667</v>
      </c>
      <c r="P221" s="7">
        <f>P220/96</f>
        <v>0.5520833333333334</v>
      </c>
      <c r="Q221" s="7">
        <f>Q220/79</f>
        <v>1</v>
      </c>
    </row>
    <row r="222" spans="2:17" ht="4.5" customHeight="1">
      <c r="B222" s="1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9">
      <c r="A223" s="5" t="s">
        <v>102</v>
      </c>
      <c r="B223" s="1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9">
      <c r="B224" s="9" t="s">
        <v>84</v>
      </c>
      <c r="C224" s="3">
        <v>48961</v>
      </c>
      <c r="D224" s="3">
        <v>278</v>
      </c>
      <c r="E224" s="3">
        <v>138</v>
      </c>
      <c r="F224" s="3">
        <v>183</v>
      </c>
      <c r="G224" s="3">
        <v>2992</v>
      </c>
      <c r="H224" s="3">
        <v>228</v>
      </c>
      <c r="I224" s="3">
        <v>370</v>
      </c>
      <c r="J224" s="3">
        <v>3290</v>
      </c>
      <c r="K224" s="3">
        <v>464</v>
      </c>
      <c r="L224" s="3">
        <v>942</v>
      </c>
      <c r="M224" s="3">
        <v>536</v>
      </c>
      <c r="N224" s="3">
        <v>309</v>
      </c>
      <c r="O224" s="3">
        <v>69</v>
      </c>
      <c r="P224" s="3">
        <v>122</v>
      </c>
      <c r="Q224" s="3">
        <v>80</v>
      </c>
    </row>
    <row r="225" spans="1:17" ht="9">
      <c r="A225" s="4" t="s">
        <v>23</v>
      </c>
      <c r="C225" s="3">
        <v>48961</v>
      </c>
      <c r="D225" s="3">
        <v>278</v>
      </c>
      <c r="E225" s="3">
        <v>138</v>
      </c>
      <c r="F225" s="3">
        <v>183</v>
      </c>
      <c r="G225" s="3">
        <v>2992</v>
      </c>
      <c r="H225" s="3">
        <v>228</v>
      </c>
      <c r="I225" s="3">
        <v>370</v>
      </c>
      <c r="J225" s="3">
        <v>3290</v>
      </c>
      <c r="K225" s="3">
        <v>464</v>
      </c>
      <c r="L225" s="3">
        <v>942</v>
      </c>
      <c r="M225" s="3">
        <v>536</v>
      </c>
      <c r="N225" s="3">
        <v>309</v>
      </c>
      <c r="O225" s="3">
        <v>69</v>
      </c>
      <c r="P225" s="3">
        <v>122</v>
      </c>
      <c r="Q225" s="3">
        <v>80</v>
      </c>
    </row>
    <row r="226" spans="2:17" s="6" customFormat="1" ht="9">
      <c r="B226" s="10" t="s">
        <v>127</v>
      </c>
      <c r="C226" s="7">
        <f>C225/48961</f>
        <v>1</v>
      </c>
      <c r="D226" s="7">
        <f aca="true" t="shared" si="32" ref="D226:M226">D225/9421</f>
        <v>0.02950854474047341</v>
      </c>
      <c r="E226" s="7">
        <f t="shared" si="32"/>
        <v>0.014648126525846513</v>
      </c>
      <c r="F226" s="7">
        <f t="shared" si="32"/>
        <v>0.019424689523405158</v>
      </c>
      <c r="G226" s="7">
        <f t="shared" si="32"/>
        <v>0.31758836641545485</v>
      </c>
      <c r="H226" s="7">
        <f t="shared" si="32"/>
        <v>0.024201252520963803</v>
      </c>
      <c r="I226" s="7">
        <f t="shared" si="32"/>
        <v>0.03927396242437108</v>
      </c>
      <c r="J226" s="7">
        <f t="shared" si="32"/>
        <v>0.3492198280437321</v>
      </c>
      <c r="K226" s="7">
        <f t="shared" si="32"/>
        <v>0.049251671797049146</v>
      </c>
      <c r="L226" s="7">
        <f t="shared" si="32"/>
        <v>0.09998938541556097</v>
      </c>
      <c r="M226" s="7">
        <f t="shared" si="32"/>
        <v>0.05689417259314298</v>
      </c>
      <c r="N226" s="7">
        <f>N225/309</f>
        <v>1</v>
      </c>
      <c r="O226" s="7">
        <f>O225/191</f>
        <v>0.3612565445026178</v>
      </c>
      <c r="P226" s="7">
        <f>P225/191</f>
        <v>0.6387434554973822</v>
      </c>
      <c r="Q226" s="7">
        <f>Q225/80</f>
        <v>1</v>
      </c>
    </row>
    <row r="227" spans="2:17" ht="4.5" customHeight="1">
      <c r="B227" s="1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9">
      <c r="A228" s="5" t="s">
        <v>103</v>
      </c>
      <c r="B228" s="1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9">
      <c r="B229" s="9" t="s">
        <v>84</v>
      </c>
      <c r="C229" s="3">
        <v>17413</v>
      </c>
      <c r="D229" s="3">
        <v>363</v>
      </c>
      <c r="E229" s="3">
        <v>212</v>
      </c>
      <c r="F229" s="3">
        <v>246</v>
      </c>
      <c r="G229" s="3">
        <v>3531</v>
      </c>
      <c r="H229" s="3">
        <v>357</v>
      </c>
      <c r="I229" s="3">
        <v>326</v>
      </c>
      <c r="J229" s="3">
        <v>3470</v>
      </c>
      <c r="K229" s="3">
        <v>415</v>
      </c>
      <c r="L229" s="3">
        <v>722</v>
      </c>
      <c r="M229" s="3">
        <v>560</v>
      </c>
      <c r="N229" s="3">
        <v>271</v>
      </c>
      <c r="O229" s="3">
        <v>39</v>
      </c>
      <c r="P229" s="3">
        <v>33</v>
      </c>
      <c r="Q229" s="3">
        <v>87</v>
      </c>
    </row>
    <row r="230" spans="1:17" ht="9">
      <c r="A230" s="4" t="s">
        <v>23</v>
      </c>
      <c r="C230" s="3">
        <v>17413</v>
      </c>
      <c r="D230" s="3">
        <v>363</v>
      </c>
      <c r="E230" s="3">
        <v>212</v>
      </c>
      <c r="F230" s="3">
        <v>246</v>
      </c>
      <c r="G230" s="3">
        <v>3531</v>
      </c>
      <c r="H230" s="3">
        <v>357</v>
      </c>
      <c r="I230" s="3">
        <v>326</v>
      </c>
      <c r="J230" s="3">
        <v>3470</v>
      </c>
      <c r="K230" s="3">
        <v>415</v>
      </c>
      <c r="L230" s="3">
        <v>722</v>
      </c>
      <c r="M230" s="3">
        <v>560</v>
      </c>
      <c r="N230" s="3">
        <v>271</v>
      </c>
      <c r="O230" s="3">
        <v>39</v>
      </c>
      <c r="P230" s="3">
        <v>33</v>
      </c>
      <c r="Q230" s="3">
        <v>87</v>
      </c>
    </row>
    <row r="231" spans="2:17" s="6" customFormat="1" ht="9">
      <c r="B231" s="10" t="s">
        <v>127</v>
      </c>
      <c r="C231" s="7">
        <f>C230/17413</f>
        <v>1</v>
      </c>
      <c r="D231" s="7">
        <f aca="true" t="shared" si="33" ref="D231:M231">D230/10202</f>
        <v>0.03558125857674966</v>
      </c>
      <c r="E231" s="7">
        <f t="shared" si="33"/>
        <v>0.020780239168790432</v>
      </c>
      <c r="F231" s="7">
        <f t="shared" si="33"/>
        <v>0.024112919035483238</v>
      </c>
      <c r="G231" s="7">
        <f t="shared" si="33"/>
        <v>0.34610860615565575</v>
      </c>
      <c r="H231" s="7">
        <f t="shared" si="33"/>
        <v>0.034993138600274455</v>
      </c>
      <c r="I231" s="7">
        <f t="shared" si="33"/>
        <v>0.03195451872181925</v>
      </c>
      <c r="J231" s="7">
        <f t="shared" si="33"/>
        <v>0.34012938639482454</v>
      </c>
      <c r="K231" s="7">
        <f t="shared" si="33"/>
        <v>0.040678298372868064</v>
      </c>
      <c r="L231" s="7">
        <f t="shared" si="33"/>
        <v>0.0707704371691825</v>
      </c>
      <c r="M231" s="7">
        <f t="shared" si="33"/>
        <v>0.05489119780435209</v>
      </c>
      <c r="N231" s="7">
        <f>N230/271</f>
        <v>1</v>
      </c>
      <c r="O231" s="7">
        <f>O230/72</f>
        <v>0.5416666666666666</v>
      </c>
      <c r="P231" s="7">
        <f>P230/72</f>
        <v>0.4583333333333333</v>
      </c>
      <c r="Q231" s="7">
        <f>Q230/87</f>
        <v>1</v>
      </c>
    </row>
    <row r="232" spans="2:17" ht="4.5" customHeight="1">
      <c r="B232" s="1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9">
      <c r="A233" s="5" t="s">
        <v>104</v>
      </c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9">
      <c r="B234" s="9" t="s">
        <v>84</v>
      </c>
      <c r="C234" s="3">
        <v>28792</v>
      </c>
      <c r="D234" s="3">
        <v>432</v>
      </c>
      <c r="E234" s="3">
        <v>139</v>
      </c>
      <c r="F234" s="3">
        <v>135</v>
      </c>
      <c r="G234" s="3">
        <v>2962</v>
      </c>
      <c r="H234" s="3">
        <v>413</v>
      </c>
      <c r="I234" s="3">
        <v>305</v>
      </c>
      <c r="J234" s="3">
        <v>3158</v>
      </c>
      <c r="K234" s="3">
        <v>588</v>
      </c>
      <c r="L234" s="3">
        <v>881</v>
      </c>
      <c r="M234" s="3">
        <v>655</v>
      </c>
      <c r="N234" s="3">
        <v>301</v>
      </c>
      <c r="O234" s="3">
        <v>35</v>
      </c>
      <c r="P234" s="3">
        <v>68</v>
      </c>
      <c r="Q234" s="3">
        <v>43</v>
      </c>
    </row>
    <row r="235" spans="1:17" ht="9">
      <c r="A235" s="4" t="s">
        <v>23</v>
      </c>
      <c r="C235" s="3">
        <v>28792</v>
      </c>
      <c r="D235" s="3">
        <v>432</v>
      </c>
      <c r="E235" s="3">
        <v>139</v>
      </c>
      <c r="F235" s="3">
        <v>135</v>
      </c>
      <c r="G235" s="3">
        <v>2962</v>
      </c>
      <c r="H235" s="3">
        <v>413</v>
      </c>
      <c r="I235" s="3">
        <v>305</v>
      </c>
      <c r="J235" s="3">
        <v>3158</v>
      </c>
      <c r="K235" s="3">
        <v>588</v>
      </c>
      <c r="L235" s="3">
        <v>881</v>
      </c>
      <c r="M235" s="3">
        <v>655</v>
      </c>
      <c r="N235" s="3">
        <v>301</v>
      </c>
      <c r="O235" s="3">
        <v>35</v>
      </c>
      <c r="P235" s="3">
        <v>68</v>
      </c>
      <c r="Q235" s="3">
        <v>43</v>
      </c>
    </row>
    <row r="236" spans="2:17" s="6" customFormat="1" ht="9">
      <c r="B236" s="10" t="s">
        <v>127</v>
      </c>
      <c r="C236" s="7">
        <f>C235/28792</f>
        <v>1</v>
      </c>
      <c r="D236" s="7">
        <f aca="true" t="shared" si="34" ref="D236:M236">D235/9668</f>
        <v>0.04468349193214729</v>
      </c>
      <c r="E236" s="7">
        <f t="shared" si="34"/>
        <v>0.0143773272652048</v>
      </c>
      <c r="F236" s="7">
        <f t="shared" si="34"/>
        <v>0.013963591228796028</v>
      </c>
      <c r="G236" s="7">
        <f t="shared" si="34"/>
        <v>0.3063715349606951</v>
      </c>
      <c r="H236" s="7">
        <f t="shared" si="34"/>
        <v>0.042718245759205624</v>
      </c>
      <c r="I236" s="7">
        <f t="shared" si="34"/>
        <v>0.03154737277616881</v>
      </c>
      <c r="J236" s="7">
        <f t="shared" si="34"/>
        <v>0.32664460074472484</v>
      </c>
      <c r="K236" s="7">
        <f t="shared" si="34"/>
        <v>0.06081919735208937</v>
      </c>
      <c r="L236" s="7">
        <f t="shared" si="34"/>
        <v>0.09112536201903186</v>
      </c>
      <c r="M236" s="7">
        <f t="shared" si="34"/>
        <v>0.06774927596193628</v>
      </c>
      <c r="N236" s="7">
        <f>N235/301</f>
        <v>1</v>
      </c>
      <c r="O236" s="7">
        <f>O235/103</f>
        <v>0.33980582524271846</v>
      </c>
      <c r="P236" s="7">
        <f>P235/103</f>
        <v>0.6601941747572816</v>
      </c>
      <c r="Q236" s="7">
        <f>Q235/43</f>
        <v>1</v>
      </c>
    </row>
    <row r="237" spans="2:17" ht="4.5" customHeight="1">
      <c r="B237" s="1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9">
      <c r="A238" s="5" t="s">
        <v>105</v>
      </c>
      <c r="B238" s="1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9">
      <c r="B239" s="9" t="s">
        <v>84</v>
      </c>
      <c r="C239" s="3">
        <v>36673</v>
      </c>
      <c r="D239" s="3">
        <v>1065</v>
      </c>
      <c r="E239" s="3">
        <v>416</v>
      </c>
      <c r="F239" s="3">
        <v>606</v>
      </c>
      <c r="G239" s="3">
        <v>10805</v>
      </c>
      <c r="H239" s="3">
        <v>748</v>
      </c>
      <c r="I239" s="3">
        <v>1058</v>
      </c>
      <c r="J239" s="3">
        <v>12518</v>
      </c>
      <c r="K239" s="3">
        <v>2335</v>
      </c>
      <c r="L239" s="3">
        <v>3362</v>
      </c>
      <c r="M239" s="3">
        <v>3261</v>
      </c>
      <c r="N239" s="3">
        <v>601</v>
      </c>
      <c r="O239" s="3">
        <v>183</v>
      </c>
      <c r="P239" s="3">
        <v>302</v>
      </c>
      <c r="Q239" s="3">
        <v>121</v>
      </c>
    </row>
    <row r="240" spans="1:17" ht="9">
      <c r="A240" s="4" t="s">
        <v>23</v>
      </c>
      <c r="C240" s="3">
        <v>36673</v>
      </c>
      <c r="D240" s="3">
        <v>1065</v>
      </c>
      <c r="E240" s="3">
        <v>416</v>
      </c>
      <c r="F240" s="3">
        <v>606</v>
      </c>
      <c r="G240" s="3">
        <v>10805</v>
      </c>
      <c r="H240" s="3">
        <v>748</v>
      </c>
      <c r="I240" s="3">
        <v>1058</v>
      </c>
      <c r="J240" s="3">
        <v>12518</v>
      </c>
      <c r="K240" s="3">
        <v>2335</v>
      </c>
      <c r="L240" s="3">
        <v>3362</v>
      </c>
      <c r="M240" s="3">
        <v>3261</v>
      </c>
      <c r="N240" s="3">
        <v>601</v>
      </c>
      <c r="O240" s="3">
        <v>183</v>
      </c>
      <c r="P240" s="3">
        <v>302</v>
      </c>
      <c r="Q240" s="3">
        <v>121</v>
      </c>
    </row>
    <row r="241" spans="2:17" s="6" customFormat="1" ht="9">
      <c r="B241" s="10" t="s">
        <v>127</v>
      </c>
      <c r="C241" s="7">
        <f>C240/36673</f>
        <v>1</v>
      </c>
      <c r="D241" s="7">
        <f aca="true" t="shared" si="35" ref="D241:M241">D240/36174</f>
        <v>0.029441034997512026</v>
      </c>
      <c r="E241" s="7">
        <f t="shared" si="35"/>
        <v>0.011499972355835683</v>
      </c>
      <c r="F241" s="7">
        <f t="shared" si="35"/>
        <v>0.016752363576049097</v>
      </c>
      <c r="G241" s="7">
        <f t="shared" si="35"/>
        <v>0.2986951954442417</v>
      </c>
      <c r="H241" s="7">
        <f t="shared" si="35"/>
        <v>0.0206778349090507</v>
      </c>
      <c r="I241" s="7">
        <f t="shared" si="35"/>
        <v>0.029247525847293638</v>
      </c>
      <c r="J241" s="7">
        <f t="shared" si="35"/>
        <v>0.34604964891911316</v>
      </c>
      <c r="K241" s="7">
        <f t="shared" si="35"/>
        <v>0.06454912367999116</v>
      </c>
      <c r="L241" s="7">
        <f t="shared" si="35"/>
        <v>0.0929396804334605</v>
      </c>
      <c r="M241" s="7">
        <f t="shared" si="35"/>
        <v>0.09014761983745231</v>
      </c>
      <c r="N241" s="7">
        <f>N240/601</f>
        <v>1</v>
      </c>
      <c r="O241" s="7">
        <f>O240/485</f>
        <v>0.37731958762886597</v>
      </c>
      <c r="P241" s="7">
        <f>P240/485</f>
        <v>0.622680412371134</v>
      </c>
      <c r="Q241" s="7">
        <f>Q240/121</f>
        <v>1</v>
      </c>
    </row>
    <row r="242" spans="2:17" ht="4.5" customHeight="1">
      <c r="B242" s="1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9">
      <c r="A243" s="5" t="s">
        <v>106</v>
      </c>
      <c r="B243" s="1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9">
      <c r="B244" s="9" t="s">
        <v>84</v>
      </c>
      <c r="C244" s="3">
        <v>27779</v>
      </c>
      <c r="D244" s="3">
        <v>496</v>
      </c>
      <c r="E244" s="3">
        <v>195</v>
      </c>
      <c r="F244" s="3">
        <v>340</v>
      </c>
      <c r="G244" s="3">
        <v>3555</v>
      </c>
      <c r="H244" s="3">
        <v>334</v>
      </c>
      <c r="I244" s="3">
        <v>512</v>
      </c>
      <c r="J244" s="3">
        <v>4201</v>
      </c>
      <c r="K244" s="3">
        <v>956</v>
      </c>
      <c r="L244" s="3">
        <v>1310</v>
      </c>
      <c r="M244" s="3">
        <v>779</v>
      </c>
      <c r="N244" s="3">
        <v>376</v>
      </c>
      <c r="O244" s="3">
        <v>83</v>
      </c>
      <c r="P244" s="3">
        <v>118</v>
      </c>
      <c r="Q244" s="3">
        <v>60</v>
      </c>
    </row>
    <row r="245" spans="1:17" ht="9">
      <c r="A245" s="4" t="s">
        <v>23</v>
      </c>
      <c r="C245" s="3">
        <v>27779</v>
      </c>
      <c r="D245" s="3">
        <v>496</v>
      </c>
      <c r="E245" s="3">
        <v>195</v>
      </c>
      <c r="F245" s="3">
        <v>340</v>
      </c>
      <c r="G245" s="3">
        <v>3555</v>
      </c>
      <c r="H245" s="3">
        <v>334</v>
      </c>
      <c r="I245" s="3">
        <v>512</v>
      </c>
      <c r="J245" s="3">
        <v>4201</v>
      </c>
      <c r="K245" s="3">
        <v>956</v>
      </c>
      <c r="L245" s="3">
        <v>1310</v>
      </c>
      <c r="M245" s="3">
        <v>779</v>
      </c>
      <c r="N245" s="3">
        <v>376</v>
      </c>
      <c r="O245" s="3">
        <v>83</v>
      </c>
      <c r="P245" s="3">
        <v>118</v>
      </c>
      <c r="Q245" s="3">
        <v>60</v>
      </c>
    </row>
    <row r="246" spans="2:17" s="6" customFormat="1" ht="9">
      <c r="B246" s="10" t="s">
        <v>127</v>
      </c>
      <c r="C246" s="7">
        <f>C245/27779</f>
        <v>1</v>
      </c>
      <c r="D246" s="7">
        <f aca="true" t="shared" si="36" ref="D246:M246">D245/12678</f>
        <v>0.03912289004574854</v>
      </c>
      <c r="E246" s="7">
        <f t="shared" si="36"/>
        <v>0.015380974917179366</v>
      </c>
      <c r="F246" s="7">
        <f t="shared" si="36"/>
        <v>0.026818110112005047</v>
      </c>
      <c r="G246" s="7">
        <f t="shared" si="36"/>
        <v>0.2804070042593469</v>
      </c>
      <c r="H246" s="7">
        <f t="shared" si="36"/>
        <v>0.026344849345322607</v>
      </c>
      <c r="I246" s="7">
        <f t="shared" si="36"/>
        <v>0.04038491875690172</v>
      </c>
      <c r="J246" s="7">
        <f t="shared" si="36"/>
        <v>0.3313614134721565</v>
      </c>
      <c r="K246" s="7">
        <f t="shared" si="36"/>
        <v>0.07540621549140243</v>
      </c>
      <c r="L246" s="7">
        <f t="shared" si="36"/>
        <v>0.1033286007256665</v>
      </c>
      <c r="M246" s="7">
        <f t="shared" si="36"/>
        <v>0.06144502287427039</v>
      </c>
      <c r="N246" s="7">
        <f>N245/376</f>
        <v>1</v>
      </c>
      <c r="O246" s="7">
        <f>O245/201</f>
        <v>0.4129353233830846</v>
      </c>
      <c r="P246" s="7">
        <f>P245/201</f>
        <v>0.5870646766169154</v>
      </c>
      <c r="Q246" s="7">
        <f>Q245/60</f>
        <v>1</v>
      </c>
    </row>
    <row r="247" spans="2:17" ht="4.5" customHeight="1">
      <c r="B247" s="1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9">
      <c r="A248" s="5" t="s">
        <v>107</v>
      </c>
      <c r="B248" s="1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9">
      <c r="B249" s="9" t="s">
        <v>84</v>
      </c>
      <c r="C249" s="3">
        <v>24048</v>
      </c>
      <c r="D249" s="3">
        <v>505</v>
      </c>
      <c r="E249" s="3">
        <v>196</v>
      </c>
      <c r="F249" s="3">
        <v>264</v>
      </c>
      <c r="G249" s="3">
        <v>5319</v>
      </c>
      <c r="H249" s="3">
        <v>377</v>
      </c>
      <c r="I249" s="3">
        <v>595</v>
      </c>
      <c r="J249" s="3">
        <v>4403</v>
      </c>
      <c r="K249" s="3">
        <v>633</v>
      </c>
      <c r="L249" s="3">
        <v>1124</v>
      </c>
      <c r="M249" s="3">
        <v>847</v>
      </c>
      <c r="N249" s="3">
        <v>385</v>
      </c>
      <c r="O249" s="3">
        <v>33</v>
      </c>
      <c r="P249" s="3">
        <v>56</v>
      </c>
      <c r="Q249" s="3">
        <v>95</v>
      </c>
    </row>
    <row r="250" spans="1:17" ht="9">
      <c r="A250" s="4" t="s">
        <v>23</v>
      </c>
      <c r="C250" s="3">
        <v>24048</v>
      </c>
      <c r="D250" s="3">
        <v>505</v>
      </c>
      <c r="E250" s="3">
        <v>196</v>
      </c>
      <c r="F250" s="3">
        <v>264</v>
      </c>
      <c r="G250" s="3">
        <v>5319</v>
      </c>
      <c r="H250" s="3">
        <v>377</v>
      </c>
      <c r="I250" s="3">
        <v>595</v>
      </c>
      <c r="J250" s="3">
        <v>4403</v>
      </c>
      <c r="K250" s="3">
        <v>633</v>
      </c>
      <c r="L250" s="3">
        <v>1124</v>
      </c>
      <c r="M250" s="3">
        <v>847</v>
      </c>
      <c r="N250" s="3">
        <v>385</v>
      </c>
      <c r="O250" s="3">
        <v>33</v>
      </c>
      <c r="P250" s="3">
        <v>56</v>
      </c>
      <c r="Q250" s="3">
        <v>95</v>
      </c>
    </row>
    <row r="251" spans="2:17" s="6" customFormat="1" ht="9">
      <c r="B251" s="10" t="s">
        <v>127</v>
      </c>
      <c r="C251" s="7">
        <f>C250/24048</f>
        <v>1</v>
      </c>
      <c r="D251" s="7">
        <f aca="true" t="shared" si="37" ref="D251:M251">D250/14263</f>
        <v>0.035406296010656944</v>
      </c>
      <c r="E251" s="7">
        <f t="shared" si="37"/>
        <v>0.013741849540769823</v>
      </c>
      <c r="F251" s="7">
        <f t="shared" si="37"/>
        <v>0.018509429993689968</v>
      </c>
      <c r="G251" s="7">
        <f t="shared" si="37"/>
        <v>0.37292294748650356</v>
      </c>
      <c r="H251" s="7">
        <f t="shared" si="37"/>
        <v>0.026432026922807262</v>
      </c>
      <c r="I251" s="7">
        <f t="shared" si="37"/>
        <v>0.041716328963051254</v>
      </c>
      <c r="J251" s="7">
        <f t="shared" si="37"/>
        <v>0.30870083432657924</v>
      </c>
      <c r="K251" s="7">
        <f t="shared" si="37"/>
        <v>0.04438056509850662</v>
      </c>
      <c r="L251" s="7">
        <f t="shared" si="37"/>
        <v>0.07880530042768001</v>
      </c>
      <c r="M251" s="7">
        <f t="shared" si="37"/>
        <v>0.05938442122975531</v>
      </c>
      <c r="N251" s="7">
        <f>N250/385</f>
        <v>1</v>
      </c>
      <c r="O251" s="7">
        <f>O250/89</f>
        <v>0.3707865168539326</v>
      </c>
      <c r="P251" s="7">
        <f>P250/89</f>
        <v>0.6292134831460674</v>
      </c>
      <c r="Q251" s="7">
        <f>Q250/95</f>
        <v>1</v>
      </c>
    </row>
    <row r="252" spans="2:17" ht="4.5" customHeight="1"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9">
      <c r="A253" s="5" t="s">
        <v>108</v>
      </c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9">
      <c r="B254" s="9" t="s">
        <v>84</v>
      </c>
      <c r="C254" s="3">
        <v>22767</v>
      </c>
      <c r="D254" s="3">
        <v>747</v>
      </c>
      <c r="E254" s="3">
        <v>326</v>
      </c>
      <c r="F254" s="3">
        <v>532</v>
      </c>
      <c r="G254" s="3">
        <v>6491</v>
      </c>
      <c r="H254" s="3">
        <v>571</v>
      </c>
      <c r="I254" s="3">
        <v>815</v>
      </c>
      <c r="J254" s="3">
        <v>7886</v>
      </c>
      <c r="K254" s="3">
        <v>1126</v>
      </c>
      <c r="L254" s="3">
        <v>1805</v>
      </c>
      <c r="M254" s="3">
        <v>1198</v>
      </c>
      <c r="N254" s="3">
        <v>358</v>
      </c>
      <c r="O254" s="3">
        <v>74</v>
      </c>
      <c r="P254" s="3">
        <v>84</v>
      </c>
      <c r="Q254" s="3">
        <v>85</v>
      </c>
    </row>
    <row r="255" spans="1:17" ht="9">
      <c r="A255" s="4" t="s">
        <v>23</v>
      </c>
      <c r="C255" s="3">
        <v>22767</v>
      </c>
      <c r="D255" s="3">
        <v>747</v>
      </c>
      <c r="E255" s="3">
        <v>326</v>
      </c>
      <c r="F255" s="3">
        <v>532</v>
      </c>
      <c r="G255" s="3">
        <v>6491</v>
      </c>
      <c r="H255" s="3">
        <v>571</v>
      </c>
      <c r="I255" s="3">
        <v>815</v>
      </c>
      <c r="J255" s="3">
        <v>7886</v>
      </c>
      <c r="K255" s="3">
        <v>1126</v>
      </c>
      <c r="L255" s="3">
        <v>1805</v>
      </c>
      <c r="M255" s="3">
        <v>1198</v>
      </c>
      <c r="N255" s="3">
        <v>358</v>
      </c>
      <c r="O255" s="3">
        <v>74</v>
      </c>
      <c r="P255" s="3">
        <v>84</v>
      </c>
      <c r="Q255" s="3">
        <v>85</v>
      </c>
    </row>
    <row r="256" spans="2:17" s="6" customFormat="1" ht="9">
      <c r="B256" s="10" t="s">
        <v>127</v>
      </c>
      <c r="C256" s="7">
        <f>C255/22767</f>
        <v>1</v>
      </c>
      <c r="D256" s="7">
        <f aca="true" t="shared" si="38" ref="D256:M256">D255/21497</f>
        <v>0.03474903474903475</v>
      </c>
      <c r="E256" s="7">
        <f t="shared" si="38"/>
        <v>0.015164906731171792</v>
      </c>
      <c r="F256" s="7">
        <f t="shared" si="38"/>
        <v>0.02474763920547053</v>
      </c>
      <c r="G256" s="7">
        <f t="shared" si="38"/>
        <v>0.30194910917802487</v>
      </c>
      <c r="H256" s="7">
        <f t="shared" si="38"/>
        <v>0.02656184583895427</v>
      </c>
      <c r="I256" s="7">
        <f t="shared" si="38"/>
        <v>0.03791226682792948</v>
      </c>
      <c r="J256" s="7">
        <f t="shared" si="38"/>
        <v>0.3668418849141741</v>
      </c>
      <c r="K256" s="7">
        <f t="shared" si="38"/>
        <v>0.052379401776992136</v>
      </c>
      <c r="L256" s="7">
        <f t="shared" si="38"/>
        <v>0.08396520444713215</v>
      </c>
      <c r="M256" s="7">
        <f t="shared" si="38"/>
        <v>0.05572870633111597</v>
      </c>
      <c r="N256" s="7">
        <f>N255/358</f>
        <v>1</v>
      </c>
      <c r="O256" s="7">
        <f>O255/158</f>
        <v>0.46835443037974683</v>
      </c>
      <c r="P256" s="7">
        <f>P255/158</f>
        <v>0.5316455696202531</v>
      </c>
      <c r="Q256" s="7">
        <f>Q255/85</f>
        <v>1</v>
      </c>
    </row>
    <row r="257" spans="2:17" ht="4.5" customHeight="1">
      <c r="B257" s="1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9">
      <c r="A258" s="5" t="s">
        <v>110</v>
      </c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9">
      <c r="B259" s="9" t="s">
        <v>109</v>
      </c>
      <c r="C259" s="3">
        <v>35149</v>
      </c>
      <c r="D259" s="3">
        <v>2535</v>
      </c>
      <c r="E259" s="3">
        <v>806</v>
      </c>
      <c r="F259" s="3">
        <v>956</v>
      </c>
      <c r="G259" s="3">
        <v>15844</v>
      </c>
      <c r="H259" s="3">
        <v>1654</v>
      </c>
      <c r="I259" s="3">
        <v>2588</v>
      </c>
      <c r="J259" s="3">
        <v>22599</v>
      </c>
      <c r="K259" s="3">
        <v>3785</v>
      </c>
      <c r="L259" s="3">
        <v>5198</v>
      </c>
      <c r="M259" s="3">
        <v>3963</v>
      </c>
      <c r="N259" s="3">
        <v>565</v>
      </c>
      <c r="O259" s="3">
        <v>168</v>
      </c>
      <c r="P259" s="3">
        <v>380</v>
      </c>
      <c r="Q259" s="3">
        <v>82</v>
      </c>
    </row>
    <row r="260" spans="1:17" ht="9">
      <c r="A260" s="4" t="s">
        <v>23</v>
      </c>
      <c r="C260" s="3">
        <v>35149</v>
      </c>
      <c r="D260" s="3">
        <v>2535</v>
      </c>
      <c r="E260" s="3">
        <v>806</v>
      </c>
      <c r="F260" s="3">
        <v>956</v>
      </c>
      <c r="G260" s="3">
        <v>15844</v>
      </c>
      <c r="H260" s="3">
        <v>1654</v>
      </c>
      <c r="I260" s="3">
        <v>2588</v>
      </c>
      <c r="J260" s="3">
        <v>22599</v>
      </c>
      <c r="K260" s="3">
        <v>3785</v>
      </c>
      <c r="L260" s="3">
        <v>5198</v>
      </c>
      <c r="M260" s="3">
        <v>3963</v>
      </c>
      <c r="N260" s="3">
        <v>565</v>
      </c>
      <c r="O260" s="3">
        <v>168</v>
      </c>
      <c r="P260" s="3">
        <v>380</v>
      </c>
      <c r="Q260" s="3">
        <v>82</v>
      </c>
    </row>
    <row r="261" spans="2:17" s="6" customFormat="1" ht="9">
      <c r="B261" s="10" t="s">
        <v>127</v>
      </c>
      <c r="C261" s="7">
        <f>C260/35149</f>
        <v>1</v>
      </c>
      <c r="D261" s="7">
        <f aca="true" t="shared" si="39" ref="D261:M261">D260/59929</f>
        <v>0.04230005506516044</v>
      </c>
      <c r="E261" s="7">
        <f t="shared" si="39"/>
        <v>0.013449248277127934</v>
      </c>
      <c r="F261" s="7">
        <f t="shared" si="39"/>
        <v>0.01595221011530311</v>
      </c>
      <c r="G261" s="7">
        <f t="shared" si="39"/>
        <v>0.2643795157603164</v>
      </c>
      <c r="H261" s="7">
        <f t="shared" si="39"/>
        <v>0.027599325868944917</v>
      </c>
      <c r="I261" s="7">
        <f t="shared" si="39"/>
        <v>0.043184434914649</v>
      </c>
      <c r="J261" s="7">
        <f t="shared" si="39"/>
        <v>0.3770962305394717</v>
      </c>
      <c r="K261" s="7">
        <f t="shared" si="39"/>
        <v>0.06315807038328689</v>
      </c>
      <c r="L261" s="7">
        <f t="shared" si="39"/>
        <v>0.08673597089889702</v>
      </c>
      <c r="M261" s="7">
        <f t="shared" si="39"/>
        <v>0.0661282517645881</v>
      </c>
      <c r="N261" s="7">
        <f>N260/565</f>
        <v>1</v>
      </c>
      <c r="O261" s="7">
        <f>O260/548</f>
        <v>0.30656934306569344</v>
      </c>
      <c r="P261" s="7">
        <f>P260/548</f>
        <v>0.6934306569343066</v>
      </c>
      <c r="Q261" s="7">
        <f>Q260/82</f>
        <v>1</v>
      </c>
    </row>
    <row r="262" spans="2:17" ht="4.5" customHeight="1">
      <c r="B262" s="1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9">
      <c r="A263" s="5" t="s">
        <v>112</v>
      </c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9">
      <c r="B264" s="9" t="s">
        <v>111</v>
      </c>
      <c r="C264" s="3">
        <v>8142</v>
      </c>
      <c r="D264" s="3">
        <v>382</v>
      </c>
      <c r="E264" s="3">
        <v>148</v>
      </c>
      <c r="F264" s="3">
        <v>672</v>
      </c>
      <c r="G264" s="3">
        <v>2466</v>
      </c>
      <c r="H264" s="3">
        <v>244</v>
      </c>
      <c r="I264" s="3">
        <v>425</v>
      </c>
      <c r="J264" s="3">
        <v>5065</v>
      </c>
      <c r="K264" s="3">
        <v>882</v>
      </c>
      <c r="L264" s="3">
        <v>1015</v>
      </c>
      <c r="M264" s="3">
        <v>602</v>
      </c>
      <c r="N264" s="3">
        <v>206</v>
      </c>
      <c r="O264" s="3">
        <v>40</v>
      </c>
      <c r="P264" s="3">
        <v>33</v>
      </c>
      <c r="Q264" s="3">
        <v>7</v>
      </c>
    </row>
    <row r="265" spans="2:17" ht="9">
      <c r="B265" s="9" t="s">
        <v>93</v>
      </c>
      <c r="C265" s="3">
        <v>29780</v>
      </c>
      <c r="D265" s="3">
        <v>1922</v>
      </c>
      <c r="E265" s="3">
        <v>642</v>
      </c>
      <c r="F265" s="3">
        <v>873</v>
      </c>
      <c r="G265" s="3">
        <v>13329</v>
      </c>
      <c r="H265" s="3">
        <v>946</v>
      </c>
      <c r="I265" s="3">
        <v>1842</v>
      </c>
      <c r="J265" s="3">
        <v>18985</v>
      </c>
      <c r="K265" s="3">
        <v>3174</v>
      </c>
      <c r="L265" s="3">
        <v>2927</v>
      </c>
      <c r="M265" s="3">
        <v>3164</v>
      </c>
      <c r="N265" s="3">
        <v>697</v>
      </c>
      <c r="O265" s="3">
        <v>201</v>
      </c>
      <c r="P265" s="3">
        <v>214</v>
      </c>
      <c r="Q265" s="3">
        <v>59</v>
      </c>
    </row>
    <row r="266" spans="1:17" ht="9">
      <c r="A266" s="4" t="s">
        <v>23</v>
      </c>
      <c r="C266" s="3">
        <v>37922</v>
      </c>
      <c r="D266" s="3">
        <v>2304</v>
      </c>
      <c r="E266" s="3">
        <v>790</v>
      </c>
      <c r="F266" s="3">
        <v>1545</v>
      </c>
      <c r="G266" s="3">
        <v>15795</v>
      </c>
      <c r="H266" s="3">
        <v>1190</v>
      </c>
      <c r="I266" s="3">
        <v>2267</v>
      </c>
      <c r="J266" s="3">
        <v>24050</v>
      </c>
      <c r="K266" s="3">
        <v>4056</v>
      </c>
      <c r="L266" s="3">
        <v>3942</v>
      </c>
      <c r="M266" s="3">
        <v>3766</v>
      </c>
      <c r="N266" s="3">
        <v>903</v>
      </c>
      <c r="O266" s="3">
        <v>241</v>
      </c>
      <c r="P266" s="3">
        <v>247</v>
      </c>
      <c r="Q266" s="3">
        <v>66</v>
      </c>
    </row>
    <row r="267" spans="2:17" s="6" customFormat="1" ht="9">
      <c r="B267" s="10" t="s">
        <v>127</v>
      </c>
      <c r="C267" s="7">
        <f>C266/37922</f>
        <v>1</v>
      </c>
      <c r="D267" s="7">
        <f aca="true" t="shared" si="40" ref="D267:M267">D266/59705</f>
        <v>0.03858973285319488</v>
      </c>
      <c r="E267" s="7">
        <f t="shared" si="40"/>
        <v>0.013231722636295117</v>
      </c>
      <c r="F267" s="7">
        <f t="shared" si="40"/>
        <v>0.025877229712754374</v>
      </c>
      <c r="G267" s="7">
        <f t="shared" si="40"/>
        <v>0.2645507076459258</v>
      </c>
      <c r="H267" s="7">
        <f t="shared" si="40"/>
        <v>0.01993132903441923</v>
      </c>
      <c r="I267" s="7">
        <f t="shared" si="40"/>
        <v>0.03797001926136839</v>
      </c>
      <c r="J267" s="7">
        <f t="shared" si="40"/>
        <v>0.4028138346872121</v>
      </c>
      <c r="K267" s="7">
        <f t="shared" si="40"/>
        <v>0.06793400887697848</v>
      </c>
      <c r="L267" s="7">
        <f t="shared" si="40"/>
        <v>0.0660246210535131</v>
      </c>
      <c r="M267" s="7">
        <f t="shared" si="40"/>
        <v>0.0630767942383385</v>
      </c>
      <c r="N267" s="7">
        <f>N266/903</f>
        <v>1</v>
      </c>
      <c r="O267" s="7">
        <f>O266/488</f>
        <v>0.49385245901639346</v>
      </c>
      <c r="P267" s="7">
        <f>P266/488</f>
        <v>0.5061475409836066</v>
      </c>
      <c r="Q267" s="7">
        <f>Q266/66</f>
        <v>1</v>
      </c>
    </row>
    <row r="268" spans="2:17" ht="4.5" customHeight="1"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9">
      <c r="A269" s="5" t="s">
        <v>113</v>
      </c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9">
      <c r="B270" s="9" t="s">
        <v>84</v>
      </c>
      <c r="C270" s="3">
        <v>5074</v>
      </c>
      <c r="D270" s="3">
        <v>279</v>
      </c>
      <c r="E270" s="3">
        <v>232</v>
      </c>
      <c r="F270" s="3">
        <v>136</v>
      </c>
      <c r="G270" s="3">
        <v>3392</v>
      </c>
      <c r="H270" s="3">
        <v>256</v>
      </c>
      <c r="I270" s="3">
        <v>312</v>
      </c>
      <c r="J270" s="3">
        <v>3851</v>
      </c>
      <c r="K270" s="3">
        <v>411</v>
      </c>
      <c r="L270" s="3">
        <v>810</v>
      </c>
      <c r="M270" s="3">
        <v>584</v>
      </c>
      <c r="N270" s="3">
        <v>100</v>
      </c>
      <c r="O270" s="3">
        <v>18</v>
      </c>
      <c r="P270" s="3">
        <v>27</v>
      </c>
      <c r="Q270" s="3">
        <v>8</v>
      </c>
    </row>
    <row r="271" spans="2:17" ht="9">
      <c r="B271" s="9" t="s">
        <v>109</v>
      </c>
      <c r="C271" s="3">
        <v>20969</v>
      </c>
      <c r="D271" s="3">
        <v>2417</v>
      </c>
      <c r="E271" s="3">
        <v>782</v>
      </c>
      <c r="F271" s="3">
        <v>662</v>
      </c>
      <c r="G271" s="3">
        <v>12624</v>
      </c>
      <c r="H271" s="3">
        <v>1926</v>
      </c>
      <c r="I271" s="3">
        <v>1498</v>
      </c>
      <c r="J271" s="3">
        <v>15566</v>
      </c>
      <c r="K271" s="3">
        <v>3130</v>
      </c>
      <c r="L271" s="3">
        <v>4833</v>
      </c>
      <c r="M271" s="3">
        <v>3557</v>
      </c>
      <c r="N271" s="3">
        <v>355</v>
      </c>
      <c r="O271" s="3">
        <v>93</v>
      </c>
      <c r="P271" s="3">
        <v>215</v>
      </c>
      <c r="Q271" s="3">
        <v>20</v>
      </c>
    </row>
    <row r="272" spans="2:17" ht="9">
      <c r="B272" s="9" t="s">
        <v>93</v>
      </c>
      <c r="C272" s="3">
        <v>6038</v>
      </c>
      <c r="D272" s="3">
        <v>404</v>
      </c>
      <c r="E272" s="3">
        <v>186</v>
      </c>
      <c r="F272" s="3">
        <v>112</v>
      </c>
      <c r="G272" s="3">
        <v>2876</v>
      </c>
      <c r="H272" s="3">
        <v>342</v>
      </c>
      <c r="I272" s="3">
        <v>325</v>
      </c>
      <c r="J272" s="3">
        <v>3028</v>
      </c>
      <c r="K272" s="3">
        <v>471</v>
      </c>
      <c r="L272" s="3">
        <v>664</v>
      </c>
      <c r="M272" s="3">
        <v>570</v>
      </c>
      <c r="N272" s="3">
        <v>98</v>
      </c>
      <c r="O272" s="3">
        <v>29</v>
      </c>
      <c r="P272" s="3">
        <v>32</v>
      </c>
      <c r="Q272" s="3">
        <v>6</v>
      </c>
    </row>
    <row r="273" spans="1:17" ht="9">
      <c r="A273" s="4" t="s">
        <v>23</v>
      </c>
      <c r="C273" s="3">
        <v>32081</v>
      </c>
      <c r="D273" s="3">
        <v>3100</v>
      </c>
      <c r="E273" s="3">
        <v>1200</v>
      </c>
      <c r="F273" s="3">
        <v>910</v>
      </c>
      <c r="G273" s="3">
        <v>18892</v>
      </c>
      <c r="H273" s="3">
        <v>2524</v>
      </c>
      <c r="I273" s="3">
        <v>2135</v>
      </c>
      <c r="J273" s="3">
        <v>22445</v>
      </c>
      <c r="K273" s="3">
        <v>4012</v>
      </c>
      <c r="L273" s="3">
        <v>6307</v>
      </c>
      <c r="M273" s="3">
        <v>4711</v>
      </c>
      <c r="N273" s="3">
        <v>553</v>
      </c>
      <c r="O273" s="3">
        <v>140</v>
      </c>
      <c r="P273" s="3">
        <v>274</v>
      </c>
      <c r="Q273" s="3">
        <v>34</v>
      </c>
    </row>
    <row r="274" spans="2:17" s="6" customFormat="1" ht="9">
      <c r="B274" s="10" t="s">
        <v>127</v>
      </c>
      <c r="C274" s="7">
        <f>C273/32081</f>
        <v>1</v>
      </c>
      <c r="D274" s="7">
        <f aca="true" t="shared" si="41" ref="D274:M274">D273/66236</f>
        <v>0.046802343136662844</v>
      </c>
      <c r="E274" s="7">
        <f t="shared" si="41"/>
        <v>0.018117036052901745</v>
      </c>
      <c r="F274" s="7">
        <f t="shared" si="41"/>
        <v>0.013738752340117157</v>
      </c>
      <c r="G274" s="7">
        <f t="shared" si="41"/>
        <v>0.2852225375928498</v>
      </c>
      <c r="H274" s="7">
        <f t="shared" si="41"/>
        <v>0.03810616583127</v>
      </c>
      <c r="I274" s="7">
        <f t="shared" si="41"/>
        <v>0.032233226644121024</v>
      </c>
      <c r="J274" s="7">
        <f t="shared" si="41"/>
        <v>0.33886406183948303</v>
      </c>
      <c r="K274" s="7">
        <f t="shared" si="41"/>
        <v>0.06057129053686817</v>
      </c>
      <c r="L274" s="7">
        <f t="shared" si="41"/>
        <v>0.09522012198804275</v>
      </c>
      <c r="M274" s="7">
        <f t="shared" si="41"/>
        <v>0.07112446403768344</v>
      </c>
      <c r="N274" s="7">
        <f>N273/553</f>
        <v>1</v>
      </c>
      <c r="O274" s="7">
        <f>O273/414</f>
        <v>0.33816425120772947</v>
      </c>
      <c r="P274" s="7">
        <f>P273/414</f>
        <v>0.6618357487922706</v>
      </c>
      <c r="Q274" s="7">
        <f>Q273/34</f>
        <v>1</v>
      </c>
    </row>
    <row r="275" spans="2:17" ht="4.5" customHeight="1"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9">
      <c r="A276" s="5" t="s">
        <v>114</v>
      </c>
      <c r="B276" s="1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9">
      <c r="B277" s="9" t="s">
        <v>93</v>
      </c>
      <c r="C277" s="3">
        <v>28036</v>
      </c>
      <c r="D277" s="3">
        <v>1045</v>
      </c>
      <c r="E277" s="3">
        <v>189</v>
      </c>
      <c r="F277" s="3">
        <v>334</v>
      </c>
      <c r="G277" s="3">
        <v>4382</v>
      </c>
      <c r="H277" s="3">
        <v>527</v>
      </c>
      <c r="I277" s="3">
        <v>657</v>
      </c>
      <c r="J277" s="3">
        <v>5330</v>
      </c>
      <c r="K277" s="3">
        <v>1083</v>
      </c>
      <c r="L277" s="3">
        <v>1187</v>
      </c>
      <c r="M277" s="3">
        <v>1495</v>
      </c>
      <c r="N277" s="3">
        <v>330</v>
      </c>
      <c r="O277" s="3">
        <v>77</v>
      </c>
      <c r="P277" s="3">
        <v>77</v>
      </c>
      <c r="Q277" s="3">
        <v>63</v>
      </c>
    </row>
    <row r="278" spans="1:17" ht="9">
      <c r="A278" s="4" t="s">
        <v>23</v>
      </c>
      <c r="C278" s="3">
        <v>28036</v>
      </c>
      <c r="D278" s="3">
        <v>1045</v>
      </c>
      <c r="E278" s="3">
        <v>189</v>
      </c>
      <c r="F278" s="3">
        <v>334</v>
      </c>
      <c r="G278" s="3">
        <v>4382</v>
      </c>
      <c r="H278" s="3">
        <v>527</v>
      </c>
      <c r="I278" s="3">
        <v>657</v>
      </c>
      <c r="J278" s="3">
        <v>5330</v>
      </c>
      <c r="K278" s="3">
        <v>1083</v>
      </c>
      <c r="L278" s="3">
        <v>1187</v>
      </c>
      <c r="M278" s="3">
        <v>1495</v>
      </c>
      <c r="N278" s="3">
        <v>330</v>
      </c>
      <c r="O278" s="3">
        <v>77</v>
      </c>
      <c r="P278" s="3">
        <v>77</v>
      </c>
      <c r="Q278" s="3">
        <v>63</v>
      </c>
    </row>
    <row r="279" spans="2:17" s="6" customFormat="1" ht="9">
      <c r="B279" s="10" t="s">
        <v>127</v>
      </c>
      <c r="C279" s="7">
        <f>C278/28036</f>
        <v>1</v>
      </c>
      <c r="D279" s="7">
        <f aca="true" t="shared" si="42" ref="D279:M279">D278/16229</f>
        <v>0.06439090516975784</v>
      </c>
      <c r="E279" s="7">
        <f t="shared" si="42"/>
        <v>0.011645819212520796</v>
      </c>
      <c r="F279" s="7">
        <f t="shared" si="42"/>
        <v>0.020580442417893894</v>
      </c>
      <c r="G279" s="7">
        <f t="shared" si="42"/>
        <v>0.27001047507548215</v>
      </c>
      <c r="H279" s="7">
        <f t="shared" si="42"/>
        <v>0.032472733994700846</v>
      </c>
      <c r="I279" s="7">
        <f t="shared" si="42"/>
        <v>0.04048308583400086</v>
      </c>
      <c r="J279" s="7">
        <f t="shared" si="42"/>
        <v>0.32842442541130074</v>
      </c>
      <c r="K279" s="7">
        <f t="shared" si="42"/>
        <v>0.06673239263047631</v>
      </c>
      <c r="L279" s="7">
        <f t="shared" si="42"/>
        <v>0.07314067410191633</v>
      </c>
      <c r="M279" s="7">
        <f t="shared" si="42"/>
        <v>0.09211904615195021</v>
      </c>
      <c r="N279" s="7">
        <f>N278/330</f>
        <v>1</v>
      </c>
      <c r="O279" s="7">
        <f>O278/154</f>
        <v>0.5</v>
      </c>
      <c r="P279" s="7">
        <f>P278/154</f>
        <v>0.5</v>
      </c>
      <c r="Q279" s="7">
        <f>Q278/63</f>
        <v>1</v>
      </c>
    </row>
    <row r="280" spans="2:17" ht="4.5" customHeight="1"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9">
      <c r="A281" s="5" t="s">
        <v>115</v>
      </c>
      <c r="B281" s="1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9">
      <c r="B282" s="9" t="s">
        <v>109</v>
      </c>
      <c r="C282" s="3">
        <v>5712</v>
      </c>
      <c r="D282" s="3">
        <v>496</v>
      </c>
      <c r="E282" s="3">
        <v>144</v>
      </c>
      <c r="F282" s="3">
        <v>160</v>
      </c>
      <c r="G282" s="3">
        <v>3814</v>
      </c>
      <c r="H282" s="3">
        <v>409</v>
      </c>
      <c r="I282" s="3">
        <v>333</v>
      </c>
      <c r="J282" s="3">
        <v>5633</v>
      </c>
      <c r="K282" s="3">
        <v>1000</v>
      </c>
      <c r="L282" s="3">
        <v>1939</v>
      </c>
      <c r="M282" s="3">
        <v>1346</v>
      </c>
      <c r="N282" s="3">
        <v>106</v>
      </c>
      <c r="O282" s="3">
        <v>32</v>
      </c>
      <c r="P282" s="3">
        <v>80</v>
      </c>
      <c r="Q282" s="3">
        <v>11</v>
      </c>
    </row>
    <row r="283" spans="2:17" ht="9">
      <c r="B283" s="9" t="s">
        <v>111</v>
      </c>
      <c r="C283" s="3">
        <v>30016</v>
      </c>
      <c r="D283" s="3">
        <v>1749</v>
      </c>
      <c r="E283" s="3">
        <v>573</v>
      </c>
      <c r="F283" s="3">
        <v>1235</v>
      </c>
      <c r="G283" s="3">
        <v>10481</v>
      </c>
      <c r="H283" s="3">
        <v>1359</v>
      </c>
      <c r="I283" s="3">
        <v>1508</v>
      </c>
      <c r="J283" s="3">
        <v>14592</v>
      </c>
      <c r="K283" s="3">
        <v>3171</v>
      </c>
      <c r="L283" s="3">
        <v>2689</v>
      </c>
      <c r="M283" s="3">
        <v>2535</v>
      </c>
      <c r="N283" s="3">
        <v>533</v>
      </c>
      <c r="O283" s="3">
        <v>110</v>
      </c>
      <c r="P283" s="3">
        <v>203</v>
      </c>
      <c r="Q283" s="3">
        <v>93</v>
      </c>
    </row>
    <row r="284" spans="1:17" ht="9">
      <c r="A284" s="4" t="s">
        <v>23</v>
      </c>
      <c r="C284" s="3">
        <v>35728</v>
      </c>
      <c r="D284" s="3">
        <v>2245</v>
      </c>
      <c r="E284" s="3">
        <v>717</v>
      </c>
      <c r="F284" s="3">
        <v>1395</v>
      </c>
      <c r="G284" s="3">
        <v>14295</v>
      </c>
      <c r="H284" s="3">
        <v>1768</v>
      </c>
      <c r="I284" s="3">
        <v>1841</v>
      </c>
      <c r="J284" s="3">
        <v>20225</v>
      </c>
      <c r="K284" s="3">
        <v>4171</v>
      </c>
      <c r="L284" s="3">
        <v>4628</v>
      </c>
      <c r="M284" s="3">
        <v>3881</v>
      </c>
      <c r="N284" s="3">
        <v>639</v>
      </c>
      <c r="O284" s="3">
        <v>142</v>
      </c>
      <c r="P284" s="3">
        <v>283</v>
      </c>
      <c r="Q284" s="3">
        <v>104</v>
      </c>
    </row>
    <row r="285" spans="2:17" s="6" customFormat="1" ht="9">
      <c r="B285" s="10" t="s">
        <v>127</v>
      </c>
      <c r="C285" s="7">
        <f>C284/35728</f>
        <v>1</v>
      </c>
      <c r="D285" s="7">
        <f aca="true" t="shared" si="43" ref="D285:M285">D284/55166</f>
        <v>0.04069535583511583</v>
      </c>
      <c r="E285" s="7">
        <f t="shared" si="43"/>
        <v>0.012997135917050357</v>
      </c>
      <c r="F285" s="7">
        <f t="shared" si="43"/>
        <v>0.025287314650328102</v>
      </c>
      <c r="G285" s="7">
        <f t="shared" si="43"/>
        <v>0.2591269985135772</v>
      </c>
      <c r="H285" s="7">
        <f t="shared" si="43"/>
        <v>0.032048725664358485</v>
      </c>
      <c r="I285" s="7">
        <f t="shared" si="43"/>
        <v>0.033372004495522606</v>
      </c>
      <c r="J285" s="7">
        <f t="shared" si="43"/>
        <v>0.3666207446615669</v>
      </c>
      <c r="K285" s="7">
        <f t="shared" si="43"/>
        <v>0.07560816444911721</v>
      </c>
      <c r="L285" s="7">
        <f t="shared" si="43"/>
        <v>0.08389225247435014</v>
      </c>
      <c r="M285" s="7">
        <f t="shared" si="43"/>
        <v>0.07035130333901315</v>
      </c>
      <c r="N285" s="7">
        <f>N284/639</f>
        <v>1</v>
      </c>
      <c r="O285" s="7">
        <f>O284/425</f>
        <v>0.3341176470588235</v>
      </c>
      <c r="P285" s="7">
        <f>P284/425</f>
        <v>0.6658823529411765</v>
      </c>
      <c r="Q285" s="7">
        <f>Q284/104</f>
        <v>1</v>
      </c>
    </row>
    <row r="286" spans="2:17" ht="4.5" customHeight="1">
      <c r="B286" s="1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9">
      <c r="A287" s="5" t="s">
        <v>116</v>
      </c>
      <c r="B287" s="1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9">
      <c r="B288" s="9" t="s">
        <v>111</v>
      </c>
      <c r="C288" s="3">
        <v>40672</v>
      </c>
      <c r="D288" s="3">
        <v>2270</v>
      </c>
      <c r="E288" s="3">
        <v>802</v>
      </c>
      <c r="F288" s="3">
        <v>1924</v>
      </c>
      <c r="G288" s="3">
        <v>11484</v>
      </c>
      <c r="H288" s="3">
        <v>1436</v>
      </c>
      <c r="I288" s="3">
        <v>1856</v>
      </c>
      <c r="J288" s="3">
        <v>22459</v>
      </c>
      <c r="K288" s="3">
        <v>4486</v>
      </c>
      <c r="L288" s="3">
        <v>4497</v>
      </c>
      <c r="M288" s="3">
        <v>3375</v>
      </c>
      <c r="N288" s="3">
        <v>622</v>
      </c>
      <c r="O288" s="3">
        <v>123</v>
      </c>
      <c r="P288" s="3">
        <v>162</v>
      </c>
      <c r="Q288" s="3">
        <v>38</v>
      </c>
    </row>
    <row r="289" spans="1:17" ht="9">
      <c r="A289" s="4" t="s">
        <v>23</v>
      </c>
      <c r="C289" s="3">
        <v>40672</v>
      </c>
      <c r="D289" s="3">
        <v>2270</v>
      </c>
      <c r="E289" s="3">
        <v>802</v>
      </c>
      <c r="F289" s="3">
        <v>1924</v>
      </c>
      <c r="G289" s="3">
        <v>11484</v>
      </c>
      <c r="H289" s="3">
        <v>1436</v>
      </c>
      <c r="I289" s="3">
        <v>1856</v>
      </c>
      <c r="J289" s="3">
        <v>22459</v>
      </c>
      <c r="K289" s="3">
        <v>4486</v>
      </c>
      <c r="L289" s="3">
        <v>4497</v>
      </c>
      <c r="M289" s="3">
        <v>3375</v>
      </c>
      <c r="N289" s="3">
        <v>622</v>
      </c>
      <c r="O289" s="3">
        <v>123</v>
      </c>
      <c r="P289" s="3">
        <v>162</v>
      </c>
      <c r="Q289" s="3">
        <v>38</v>
      </c>
    </row>
    <row r="290" spans="2:17" s="6" customFormat="1" ht="9">
      <c r="B290" s="10" t="s">
        <v>127</v>
      </c>
      <c r="C290" s="7">
        <f>C289/40672</f>
        <v>1</v>
      </c>
      <c r="D290" s="7">
        <f aca="true" t="shared" si="44" ref="D290:M290">D289/54589</f>
        <v>0.04158346919709099</v>
      </c>
      <c r="E290" s="7">
        <f t="shared" si="44"/>
        <v>0.014691604535712322</v>
      </c>
      <c r="F290" s="7">
        <f t="shared" si="44"/>
        <v>0.03524519591859166</v>
      </c>
      <c r="G290" s="7">
        <f t="shared" si="44"/>
        <v>0.21037205297770614</v>
      </c>
      <c r="H290" s="7">
        <f t="shared" si="44"/>
        <v>0.026305665976661965</v>
      </c>
      <c r="I290" s="7">
        <f t="shared" si="44"/>
        <v>0.033999523713568666</v>
      </c>
      <c r="J290" s="7">
        <f t="shared" si="44"/>
        <v>0.41141988312663724</v>
      </c>
      <c r="K290" s="7">
        <f t="shared" si="44"/>
        <v>0.08217772811372255</v>
      </c>
      <c r="L290" s="7">
        <f t="shared" si="44"/>
        <v>0.08237923391159391</v>
      </c>
      <c r="M290" s="7">
        <f t="shared" si="44"/>
        <v>0.06182564252871458</v>
      </c>
      <c r="N290" s="7">
        <f>N289/622</f>
        <v>1</v>
      </c>
      <c r="O290" s="7">
        <f>O289/285</f>
        <v>0.43157894736842106</v>
      </c>
      <c r="P290" s="7">
        <f>P289/285</f>
        <v>0.5684210526315789</v>
      </c>
      <c r="Q290" s="7">
        <f>Q289/38</f>
        <v>1</v>
      </c>
    </row>
    <row r="291" spans="2:17" ht="4.5" customHeight="1">
      <c r="B291" s="1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9">
      <c r="A292" s="5" t="s">
        <v>117</v>
      </c>
      <c r="B292" s="1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9">
      <c r="B293" s="9" t="s">
        <v>84</v>
      </c>
      <c r="C293" s="3">
        <v>11257</v>
      </c>
      <c r="D293" s="3">
        <v>456</v>
      </c>
      <c r="E293" s="3">
        <v>238</v>
      </c>
      <c r="F293" s="3">
        <v>224</v>
      </c>
      <c r="G293" s="3">
        <v>6806</v>
      </c>
      <c r="H293" s="3">
        <v>453</v>
      </c>
      <c r="I293" s="3">
        <v>527</v>
      </c>
      <c r="J293" s="3">
        <v>9684</v>
      </c>
      <c r="K293" s="3">
        <v>1365</v>
      </c>
      <c r="L293" s="3">
        <v>1866</v>
      </c>
      <c r="M293" s="3">
        <v>1057</v>
      </c>
      <c r="N293" s="3">
        <v>156</v>
      </c>
      <c r="O293" s="3">
        <v>50</v>
      </c>
      <c r="P293" s="3">
        <v>108</v>
      </c>
      <c r="Q293" s="3">
        <v>18</v>
      </c>
    </row>
    <row r="294" spans="2:17" ht="9">
      <c r="B294" s="9" t="s">
        <v>109</v>
      </c>
      <c r="C294" s="3">
        <v>30756</v>
      </c>
      <c r="D294" s="3">
        <v>1836</v>
      </c>
      <c r="E294" s="3">
        <v>696</v>
      </c>
      <c r="F294" s="3">
        <v>879</v>
      </c>
      <c r="G294" s="3">
        <v>16239</v>
      </c>
      <c r="H294" s="3">
        <v>1583</v>
      </c>
      <c r="I294" s="3">
        <v>2688</v>
      </c>
      <c r="J294" s="3">
        <v>21489</v>
      </c>
      <c r="K294" s="3">
        <v>2688</v>
      </c>
      <c r="L294" s="3">
        <v>4503</v>
      </c>
      <c r="M294" s="3">
        <v>2522</v>
      </c>
      <c r="N294" s="3">
        <v>462</v>
      </c>
      <c r="O294" s="3">
        <v>158</v>
      </c>
      <c r="P294" s="3">
        <v>420</v>
      </c>
      <c r="Q294" s="3">
        <v>41</v>
      </c>
    </row>
    <row r="295" spans="1:17" ht="9">
      <c r="A295" s="4" t="s">
        <v>23</v>
      </c>
      <c r="C295" s="3">
        <v>42013</v>
      </c>
      <c r="D295" s="3">
        <v>2292</v>
      </c>
      <c r="E295" s="3">
        <v>934</v>
      </c>
      <c r="F295" s="3">
        <v>1103</v>
      </c>
      <c r="G295" s="3">
        <v>23045</v>
      </c>
      <c r="H295" s="3">
        <v>2036</v>
      </c>
      <c r="I295" s="3">
        <v>3215</v>
      </c>
      <c r="J295" s="3">
        <v>31173</v>
      </c>
      <c r="K295" s="3">
        <v>4053</v>
      </c>
      <c r="L295" s="3">
        <v>6369</v>
      </c>
      <c r="M295" s="3">
        <v>3579</v>
      </c>
      <c r="N295" s="3">
        <v>618</v>
      </c>
      <c r="O295" s="3">
        <v>208</v>
      </c>
      <c r="P295" s="3">
        <v>528</v>
      </c>
      <c r="Q295" s="3">
        <v>59</v>
      </c>
    </row>
    <row r="296" spans="2:17" s="6" customFormat="1" ht="9">
      <c r="B296" s="10" t="s">
        <v>127</v>
      </c>
      <c r="C296" s="7">
        <f>C295/42013</f>
        <v>1</v>
      </c>
      <c r="D296" s="7">
        <f aca="true" t="shared" si="45" ref="D296:M296">D295/77799</f>
        <v>0.029460532911734085</v>
      </c>
      <c r="E296" s="7">
        <f t="shared" si="45"/>
        <v>0.012005295697888147</v>
      </c>
      <c r="F296" s="7">
        <f t="shared" si="45"/>
        <v>0.014177560122880756</v>
      </c>
      <c r="G296" s="7">
        <f t="shared" si="45"/>
        <v>0.2962120335736963</v>
      </c>
      <c r="H296" s="7">
        <f t="shared" si="45"/>
        <v>0.02617000218511806</v>
      </c>
      <c r="I296" s="7">
        <f t="shared" si="45"/>
        <v>0.04132443861746295</v>
      </c>
      <c r="J296" s="7">
        <f t="shared" si="45"/>
        <v>0.40068638414375507</v>
      </c>
      <c r="K296" s="7">
        <f t="shared" si="45"/>
        <v>0.05209578529287009</v>
      </c>
      <c r="L296" s="7">
        <f t="shared" si="45"/>
        <v>0.08186480546022443</v>
      </c>
      <c r="M296" s="7">
        <f t="shared" si="45"/>
        <v>0.04600316199437011</v>
      </c>
      <c r="N296" s="7">
        <f>N295/618</f>
        <v>1</v>
      </c>
      <c r="O296" s="7">
        <f>O295/736</f>
        <v>0.2826086956521739</v>
      </c>
      <c r="P296" s="7">
        <f>P295/736</f>
        <v>0.717391304347826</v>
      </c>
      <c r="Q296" s="7">
        <f>Q295/59</f>
        <v>1</v>
      </c>
    </row>
    <row r="297" spans="2:17" ht="4.5" customHeight="1">
      <c r="B297" s="1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9">
      <c r="A298" s="5" t="s">
        <v>118</v>
      </c>
      <c r="B298" s="1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9">
      <c r="B299" s="9" t="s">
        <v>109</v>
      </c>
      <c r="C299" s="3">
        <v>23136</v>
      </c>
      <c r="D299" s="3">
        <v>958</v>
      </c>
      <c r="E299" s="3">
        <v>316</v>
      </c>
      <c r="F299" s="3">
        <v>521</v>
      </c>
      <c r="G299" s="3">
        <v>5758</v>
      </c>
      <c r="H299" s="3">
        <v>486</v>
      </c>
      <c r="I299" s="3">
        <v>1248</v>
      </c>
      <c r="J299" s="3">
        <v>7728</v>
      </c>
      <c r="K299" s="3">
        <v>1152</v>
      </c>
      <c r="L299" s="3">
        <v>1800</v>
      </c>
      <c r="M299" s="3">
        <v>1505</v>
      </c>
      <c r="N299" s="3">
        <v>342</v>
      </c>
      <c r="O299" s="3">
        <v>83</v>
      </c>
      <c r="P299" s="3">
        <v>143</v>
      </c>
      <c r="Q299" s="3">
        <v>48</v>
      </c>
    </row>
    <row r="300" spans="1:17" ht="9">
      <c r="A300" s="4" t="s">
        <v>23</v>
      </c>
      <c r="C300" s="3">
        <v>23136</v>
      </c>
      <c r="D300" s="3">
        <v>958</v>
      </c>
      <c r="E300" s="3">
        <v>316</v>
      </c>
      <c r="F300" s="3">
        <v>521</v>
      </c>
      <c r="G300" s="3">
        <v>5758</v>
      </c>
      <c r="H300" s="3">
        <v>486</v>
      </c>
      <c r="I300" s="3">
        <v>1248</v>
      </c>
      <c r="J300" s="3">
        <v>7728</v>
      </c>
      <c r="K300" s="3">
        <v>1152</v>
      </c>
      <c r="L300" s="3">
        <v>1800</v>
      </c>
      <c r="M300" s="3">
        <v>1505</v>
      </c>
      <c r="N300" s="3">
        <v>342</v>
      </c>
      <c r="O300" s="3">
        <v>83</v>
      </c>
      <c r="P300" s="3">
        <v>143</v>
      </c>
      <c r="Q300" s="3">
        <v>48</v>
      </c>
    </row>
    <row r="301" spans="2:17" s="6" customFormat="1" ht="9">
      <c r="B301" s="10" t="s">
        <v>127</v>
      </c>
      <c r="C301" s="7">
        <f>C300/23136</f>
        <v>1</v>
      </c>
      <c r="D301" s="7">
        <f aca="true" t="shared" si="46" ref="D301:M301">D300/21472</f>
        <v>0.044616244411326375</v>
      </c>
      <c r="E301" s="7">
        <f t="shared" si="46"/>
        <v>0.014716840536512668</v>
      </c>
      <c r="F301" s="7">
        <f t="shared" si="46"/>
        <v>0.024264157973174365</v>
      </c>
      <c r="G301" s="7">
        <f t="shared" si="46"/>
        <v>0.26816318926974664</v>
      </c>
      <c r="H301" s="7">
        <f t="shared" si="46"/>
        <v>0.02263412816691505</v>
      </c>
      <c r="I301" s="7">
        <f t="shared" si="46"/>
        <v>0.05812220566318927</v>
      </c>
      <c r="J301" s="7">
        <f t="shared" si="46"/>
        <v>0.35991058122205666</v>
      </c>
      <c r="K301" s="7">
        <f t="shared" si="46"/>
        <v>0.05365126676602087</v>
      </c>
      <c r="L301" s="7">
        <f t="shared" si="46"/>
        <v>0.0838301043219076</v>
      </c>
      <c r="M301" s="7">
        <f t="shared" si="46"/>
        <v>0.07009128166915052</v>
      </c>
      <c r="N301" s="7">
        <f>N300/342</f>
        <v>1</v>
      </c>
      <c r="O301" s="7">
        <f>O300/226</f>
        <v>0.3672566371681416</v>
      </c>
      <c r="P301" s="7">
        <f>P300/226</f>
        <v>0.6327433628318584</v>
      </c>
      <c r="Q301" s="7">
        <f>Q300/48</f>
        <v>1</v>
      </c>
    </row>
    <row r="302" spans="2:17" ht="4.5" customHeight="1">
      <c r="B302" s="1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9">
      <c r="A303" s="5" t="s">
        <v>119</v>
      </c>
      <c r="B303" s="1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9">
      <c r="B304" s="9" t="s">
        <v>109</v>
      </c>
      <c r="C304" s="3">
        <v>43629</v>
      </c>
      <c r="D304" s="3">
        <v>2757</v>
      </c>
      <c r="E304" s="3">
        <v>1330</v>
      </c>
      <c r="F304" s="3">
        <v>997</v>
      </c>
      <c r="G304" s="3">
        <v>20419</v>
      </c>
      <c r="H304" s="3">
        <v>3246</v>
      </c>
      <c r="I304" s="3">
        <v>1943</v>
      </c>
      <c r="J304" s="3">
        <v>32142</v>
      </c>
      <c r="K304" s="3">
        <v>4589</v>
      </c>
      <c r="L304" s="3">
        <v>8114</v>
      </c>
      <c r="M304" s="3">
        <v>5351</v>
      </c>
      <c r="N304" s="3">
        <v>582</v>
      </c>
      <c r="O304" s="3">
        <v>215</v>
      </c>
      <c r="P304" s="3">
        <v>549</v>
      </c>
      <c r="Q304" s="3">
        <v>38</v>
      </c>
    </row>
    <row r="305" spans="1:17" ht="9">
      <c r="A305" s="4" t="s">
        <v>23</v>
      </c>
      <c r="C305" s="3">
        <v>43629</v>
      </c>
      <c r="D305" s="3">
        <v>2757</v>
      </c>
      <c r="E305" s="3">
        <v>1330</v>
      </c>
      <c r="F305" s="3">
        <v>997</v>
      </c>
      <c r="G305" s="3">
        <v>20419</v>
      </c>
      <c r="H305" s="3">
        <v>3246</v>
      </c>
      <c r="I305" s="3">
        <v>1943</v>
      </c>
      <c r="J305" s="3">
        <v>32142</v>
      </c>
      <c r="K305" s="3">
        <v>4589</v>
      </c>
      <c r="L305" s="3">
        <v>8114</v>
      </c>
      <c r="M305" s="3">
        <v>5351</v>
      </c>
      <c r="N305" s="3">
        <v>582</v>
      </c>
      <c r="O305" s="3">
        <v>215</v>
      </c>
      <c r="P305" s="3">
        <v>549</v>
      </c>
      <c r="Q305" s="3">
        <v>38</v>
      </c>
    </row>
    <row r="306" spans="2:17" s="6" customFormat="1" ht="9">
      <c r="B306" s="10" t="s">
        <v>127</v>
      </c>
      <c r="C306" s="7">
        <f>C305/43629</f>
        <v>1</v>
      </c>
      <c r="D306" s="7">
        <f aca="true" t="shared" si="47" ref="D306:M306">D305/80888</f>
        <v>0.0340841657600633</v>
      </c>
      <c r="E306" s="7">
        <f t="shared" si="47"/>
        <v>0.016442488378993175</v>
      </c>
      <c r="F306" s="7">
        <f t="shared" si="47"/>
        <v>0.012325684897636238</v>
      </c>
      <c r="G306" s="7">
        <f t="shared" si="47"/>
        <v>0.25243546632380576</v>
      </c>
      <c r="H306" s="7">
        <f t="shared" si="47"/>
        <v>0.04012956186331718</v>
      </c>
      <c r="I306" s="7">
        <f t="shared" si="47"/>
        <v>0.024020868361190783</v>
      </c>
      <c r="J306" s="7">
        <f t="shared" si="47"/>
        <v>0.3973642567500742</v>
      </c>
      <c r="K306" s="7">
        <f t="shared" si="47"/>
        <v>0.0567327662941351</v>
      </c>
      <c r="L306" s="7">
        <f t="shared" si="47"/>
        <v>0.10031154188507566</v>
      </c>
      <c r="M306" s="7">
        <f t="shared" si="47"/>
        <v>0.06615319948570864</v>
      </c>
      <c r="N306" s="7">
        <f>N305/582</f>
        <v>1</v>
      </c>
      <c r="O306" s="7">
        <f>O305/764</f>
        <v>0.281413612565445</v>
      </c>
      <c r="P306" s="7">
        <f>P305/764</f>
        <v>0.7185863874345549</v>
      </c>
      <c r="Q306" s="7">
        <f>Q305/38</f>
        <v>1</v>
      </c>
    </row>
    <row r="307" spans="2:17" ht="4.5" customHeight="1">
      <c r="B307" s="1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9">
      <c r="A308" s="5" t="s">
        <v>121</v>
      </c>
      <c r="B308" s="1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9">
      <c r="B309" s="9" t="s">
        <v>111</v>
      </c>
      <c r="C309" s="3">
        <v>13158</v>
      </c>
      <c r="D309" s="3">
        <v>1123</v>
      </c>
      <c r="E309" s="3">
        <v>297</v>
      </c>
      <c r="F309" s="3">
        <v>1015</v>
      </c>
      <c r="G309" s="3">
        <v>5908</v>
      </c>
      <c r="H309" s="3">
        <v>500</v>
      </c>
      <c r="I309" s="3">
        <v>918</v>
      </c>
      <c r="J309" s="3">
        <v>8636</v>
      </c>
      <c r="K309" s="3">
        <v>1487</v>
      </c>
      <c r="L309" s="3">
        <v>2049</v>
      </c>
      <c r="M309" s="3">
        <v>1259</v>
      </c>
      <c r="N309" s="3">
        <v>280</v>
      </c>
      <c r="O309" s="3">
        <v>69</v>
      </c>
      <c r="P309" s="3">
        <v>86</v>
      </c>
      <c r="Q309" s="3">
        <v>24</v>
      </c>
    </row>
    <row r="310" spans="2:17" ht="9">
      <c r="B310" s="9" t="s">
        <v>120</v>
      </c>
      <c r="C310" s="3">
        <v>23027</v>
      </c>
      <c r="D310" s="3">
        <v>1041</v>
      </c>
      <c r="E310" s="3">
        <v>329</v>
      </c>
      <c r="F310" s="3">
        <v>784</v>
      </c>
      <c r="G310" s="3">
        <v>7839</v>
      </c>
      <c r="H310" s="3">
        <v>672</v>
      </c>
      <c r="I310" s="3">
        <v>947</v>
      </c>
      <c r="J310" s="3">
        <v>13625</v>
      </c>
      <c r="K310" s="3">
        <v>2708</v>
      </c>
      <c r="L310" s="3">
        <v>10984</v>
      </c>
      <c r="M310" s="3">
        <v>2464</v>
      </c>
      <c r="N310" s="3">
        <v>480</v>
      </c>
      <c r="O310" s="3">
        <v>183</v>
      </c>
      <c r="P310" s="3">
        <v>237</v>
      </c>
      <c r="Q310" s="3">
        <v>40</v>
      </c>
    </row>
    <row r="311" spans="1:17" ht="9">
      <c r="A311" s="4" t="s">
        <v>23</v>
      </c>
      <c r="C311" s="3">
        <v>36185</v>
      </c>
      <c r="D311" s="3">
        <v>2164</v>
      </c>
      <c r="E311" s="3">
        <v>626</v>
      </c>
      <c r="F311" s="3">
        <v>1799</v>
      </c>
      <c r="G311" s="3">
        <v>13747</v>
      </c>
      <c r="H311" s="3">
        <v>1172</v>
      </c>
      <c r="I311" s="3">
        <v>1865</v>
      </c>
      <c r="J311" s="3">
        <v>22261</v>
      </c>
      <c r="K311" s="3">
        <v>4195</v>
      </c>
      <c r="L311" s="3">
        <v>13033</v>
      </c>
      <c r="M311" s="3">
        <v>3723</v>
      </c>
      <c r="N311" s="3">
        <v>760</v>
      </c>
      <c r="O311" s="3">
        <v>252</v>
      </c>
      <c r="P311" s="3">
        <v>323</v>
      </c>
      <c r="Q311" s="3">
        <v>64</v>
      </c>
    </row>
    <row r="312" spans="2:17" s="6" customFormat="1" ht="9">
      <c r="B312" s="10" t="s">
        <v>127</v>
      </c>
      <c r="C312" s="7">
        <f>C311/36185</f>
        <v>1</v>
      </c>
      <c r="D312" s="7">
        <f aca="true" t="shared" si="48" ref="D312:M312">D311/64833</f>
        <v>0.03337806364043003</v>
      </c>
      <c r="E312" s="7">
        <f t="shared" si="48"/>
        <v>0.009655576635355451</v>
      </c>
      <c r="F312" s="7">
        <f t="shared" si="48"/>
        <v>0.027748214643777087</v>
      </c>
      <c r="G312" s="7">
        <f t="shared" si="48"/>
        <v>0.21203707988215878</v>
      </c>
      <c r="H312" s="7">
        <f t="shared" si="48"/>
        <v>0.01807721376459519</v>
      </c>
      <c r="I312" s="7">
        <f t="shared" si="48"/>
        <v>0.028766214736322553</v>
      </c>
      <c r="J312" s="7">
        <f t="shared" si="48"/>
        <v>0.3433590918205235</v>
      </c>
      <c r="K312" s="7">
        <f t="shared" si="48"/>
        <v>0.06470470285194269</v>
      </c>
      <c r="L312" s="7">
        <f t="shared" si="48"/>
        <v>0.20102416979007603</v>
      </c>
      <c r="M312" s="7">
        <f t="shared" si="48"/>
        <v>0.05742445976585998</v>
      </c>
      <c r="N312" s="7">
        <f>N311/760</f>
        <v>1</v>
      </c>
      <c r="O312" s="7">
        <f>O311/575</f>
        <v>0.43826086956521737</v>
      </c>
      <c r="P312" s="7">
        <f>P311/575</f>
        <v>0.5617391304347826</v>
      </c>
      <c r="Q312" s="7">
        <f>Q311/64</f>
        <v>1</v>
      </c>
    </row>
    <row r="313" spans="2:17" ht="4.5" customHeight="1">
      <c r="B313" s="1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9">
      <c r="A314" s="5" t="s">
        <v>122</v>
      </c>
      <c r="B314" s="1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9">
      <c r="B315" s="9" t="s">
        <v>120</v>
      </c>
      <c r="C315" s="3">
        <v>56630</v>
      </c>
      <c r="D315" s="3">
        <v>1651</v>
      </c>
      <c r="E315" s="3">
        <v>734</v>
      </c>
      <c r="F315" s="3">
        <v>1184</v>
      </c>
      <c r="G315" s="3">
        <v>14934</v>
      </c>
      <c r="H315" s="3">
        <v>1542</v>
      </c>
      <c r="I315" s="3">
        <v>1870</v>
      </c>
      <c r="J315" s="3">
        <v>22789</v>
      </c>
      <c r="K315" s="3">
        <v>5241</v>
      </c>
      <c r="L315" s="3">
        <v>23467</v>
      </c>
      <c r="M315" s="3">
        <v>2933</v>
      </c>
      <c r="N315" s="3">
        <v>853</v>
      </c>
      <c r="O315" s="3">
        <v>333</v>
      </c>
      <c r="P315" s="3">
        <v>498</v>
      </c>
      <c r="Q315" s="3">
        <v>62</v>
      </c>
    </row>
    <row r="316" spans="1:17" ht="9">
      <c r="A316" s="4" t="s">
        <v>23</v>
      </c>
      <c r="C316" s="3">
        <v>56630</v>
      </c>
      <c r="D316" s="3">
        <v>1651</v>
      </c>
      <c r="E316" s="3">
        <v>734</v>
      </c>
      <c r="F316" s="3">
        <v>1184</v>
      </c>
      <c r="G316" s="3">
        <v>14934</v>
      </c>
      <c r="H316" s="3">
        <v>1542</v>
      </c>
      <c r="I316" s="3">
        <v>1870</v>
      </c>
      <c r="J316" s="3">
        <v>22789</v>
      </c>
      <c r="K316" s="3">
        <v>5241</v>
      </c>
      <c r="L316" s="3">
        <v>23467</v>
      </c>
      <c r="M316" s="3">
        <v>2933</v>
      </c>
      <c r="N316" s="3">
        <v>853</v>
      </c>
      <c r="O316" s="3">
        <v>333</v>
      </c>
      <c r="P316" s="3">
        <v>498</v>
      </c>
      <c r="Q316" s="3">
        <v>62</v>
      </c>
    </row>
    <row r="317" spans="2:17" s="6" customFormat="1" ht="9">
      <c r="B317" s="10" t="s">
        <v>127</v>
      </c>
      <c r="C317" s="7">
        <f>C316/56630</f>
        <v>1</v>
      </c>
      <c r="D317" s="7">
        <f aca="true" t="shared" si="49" ref="D317:M317">D316/76895</f>
        <v>0.02147083685545224</v>
      </c>
      <c r="E317" s="7">
        <f t="shared" si="49"/>
        <v>0.00954548410169712</v>
      </c>
      <c r="F317" s="7">
        <f t="shared" si="49"/>
        <v>0.015397620131347942</v>
      </c>
      <c r="G317" s="7">
        <f t="shared" si="49"/>
        <v>0.19421288770401196</v>
      </c>
      <c r="H317" s="7">
        <f t="shared" si="49"/>
        <v>0.020053319461603485</v>
      </c>
      <c r="I317" s="7">
        <f t="shared" si="49"/>
        <v>0.024318876389882307</v>
      </c>
      <c r="J317" s="7">
        <f t="shared" si="49"/>
        <v>0.29636517328825024</v>
      </c>
      <c r="K317" s="7">
        <f t="shared" si="49"/>
        <v>0.06815787762533325</v>
      </c>
      <c r="L317" s="7">
        <f t="shared" si="49"/>
        <v>0.3051823915729241</v>
      </c>
      <c r="M317" s="7">
        <f t="shared" si="49"/>
        <v>0.038142922166590806</v>
      </c>
      <c r="N317" s="7">
        <f>N316/853</f>
        <v>1</v>
      </c>
      <c r="O317" s="7">
        <f>O316/831</f>
        <v>0.4007220216606498</v>
      </c>
      <c r="P317" s="7">
        <f>P316/831</f>
        <v>0.5992779783393501</v>
      </c>
      <c r="Q317" s="7">
        <f>Q316/62</f>
        <v>1</v>
      </c>
    </row>
    <row r="318" spans="2:17" ht="4.5" customHeight="1">
      <c r="B318" s="1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9">
      <c r="A319" s="5" t="s">
        <v>124</v>
      </c>
      <c r="B319" s="1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9">
      <c r="B320" s="9" t="s">
        <v>123</v>
      </c>
      <c r="C320" s="3">
        <v>7578</v>
      </c>
      <c r="D320" s="3">
        <v>266</v>
      </c>
      <c r="E320" s="3">
        <v>121</v>
      </c>
      <c r="F320" s="3">
        <v>83</v>
      </c>
      <c r="G320" s="3">
        <v>769</v>
      </c>
      <c r="H320" s="3">
        <v>321</v>
      </c>
      <c r="I320" s="3">
        <v>240</v>
      </c>
      <c r="J320" s="3">
        <v>2806</v>
      </c>
      <c r="K320" s="3">
        <v>331</v>
      </c>
      <c r="L320" s="3">
        <v>336</v>
      </c>
      <c r="M320" s="3">
        <v>347</v>
      </c>
      <c r="N320" s="3">
        <v>125</v>
      </c>
      <c r="O320" s="3">
        <v>16</v>
      </c>
      <c r="P320" s="3">
        <v>24</v>
      </c>
      <c r="Q320" s="3">
        <v>7</v>
      </c>
    </row>
    <row r="321" spans="2:17" ht="9">
      <c r="B321" s="9" t="s">
        <v>120</v>
      </c>
      <c r="C321" s="3">
        <v>31901</v>
      </c>
      <c r="D321" s="3">
        <v>733</v>
      </c>
      <c r="E321" s="3">
        <v>313</v>
      </c>
      <c r="F321" s="3">
        <v>326</v>
      </c>
      <c r="G321" s="3">
        <v>5576</v>
      </c>
      <c r="H321" s="3">
        <v>560</v>
      </c>
      <c r="I321" s="3">
        <v>718</v>
      </c>
      <c r="J321" s="3">
        <v>8636</v>
      </c>
      <c r="K321" s="3">
        <v>1375</v>
      </c>
      <c r="L321" s="3">
        <v>3300</v>
      </c>
      <c r="M321" s="3">
        <v>1480</v>
      </c>
      <c r="N321" s="3">
        <v>377</v>
      </c>
      <c r="O321" s="3">
        <v>80</v>
      </c>
      <c r="P321" s="3">
        <v>98</v>
      </c>
      <c r="Q321" s="3">
        <v>45</v>
      </c>
    </row>
    <row r="322" spans="1:17" ht="9">
      <c r="A322" s="4" t="s">
        <v>23</v>
      </c>
      <c r="C322" s="3">
        <v>39479</v>
      </c>
      <c r="D322" s="3">
        <v>999</v>
      </c>
      <c r="E322" s="3">
        <v>434</v>
      </c>
      <c r="F322" s="3">
        <v>409</v>
      </c>
      <c r="G322" s="3">
        <v>6345</v>
      </c>
      <c r="H322" s="3">
        <v>881</v>
      </c>
      <c r="I322" s="3">
        <v>958</v>
      </c>
      <c r="J322" s="3">
        <v>11442</v>
      </c>
      <c r="K322" s="3">
        <v>1706</v>
      </c>
      <c r="L322" s="3">
        <v>3636</v>
      </c>
      <c r="M322" s="3">
        <v>1827</v>
      </c>
      <c r="N322" s="3">
        <v>502</v>
      </c>
      <c r="O322" s="3">
        <v>96</v>
      </c>
      <c r="P322" s="3">
        <v>122</v>
      </c>
      <c r="Q322" s="3">
        <v>52</v>
      </c>
    </row>
    <row r="323" spans="2:17" s="6" customFormat="1" ht="9">
      <c r="B323" s="10" t="s">
        <v>127</v>
      </c>
      <c r="C323" s="7">
        <f>C322/39479</f>
        <v>1</v>
      </c>
      <c r="D323" s="7">
        <f aca="true" t="shared" si="50" ref="D323:M323">D322/28873</f>
        <v>0.034599799120285386</v>
      </c>
      <c r="E323" s="7">
        <f t="shared" si="50"/>
        <v>0.015031344162366225</v>
      </c>
      <c r="F323" s="7">
        <f t="shared" si="50"/>
        <v>0.014165483323520243</v>
      </c>
      <c r="G323" s="7">
        <f t="shared" si="50"/>
        <v>0.2197554808991099</v>
      </c>
      <c r="H323" s="7">
        <f t="shared" si="50"/>
        <v>0.03051293596093236</v>
      </c>
      <c r="I323" s="7">
        <f t="shared" si="50"/>
        <v>0.03317978734457798</v>
      </c>
      <c r="J323" s="7">
        <f t="shared" si="50"/>
        <v>0.3962871887230284</v>
      </c>
      <c r="K323" s="7">
        <f t="shared" si="50"/>
        <v>0.059086343642849724</v>
      </c>
      <c r="L323" s="7">
        <f t="shared" si="50"/>
        <v>0.12593080040175944</v>
      </c>
      <c r="M323" s="7">
        <f t="shared" si="50"/>
        <v>0.06327711010286427</v>
      </c>
      <c r="N323" s="7">
        <f>N322/502</f>
        <v>1</v>
      </c>
      <c r="O323" s="7">
        <f>O322/218</f>
        <v>0.44036697247706424</v>
      </c>
      <c r="P323" s="7">
        <f>P322/218</f>
        <v>0.5596330275229358</v>
      </c>
      <c r="Q323" s="7">
        <f>Q322/52</f>
        <v>1</v>
      </c>
    </row>
    <row r="324" spans="2:17" ht="4.5" customHeight="1">
      <c r="B324" s="1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9">
      <c r="A325" s="5" t="s">
        <v>125</v>
      </c>
      <c r="B325" s="1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9">
      <c r="B326" s="9" t="s">
        <v>120</v>
      </c>
      <c r="C326" s="3">
        <v>50363</v>
      </c>
      <c r="D326" s="3">
        <v>2292</v>
      </c>
      <c r="E326" s="3">
        <v>929</v>
      </c>
      <c r="F326" s="3">
        <v>1061</v>
      </c>
      <c r="G326" s="3">
        <v>13009</v>
      </c>
      <c r="H326" s="3">
        <v>2469</v>
      </c>
      <c r="I326" s="3">
        <v>3114</v>
      </c>
      <c r="J326" s="3">
        <v>24926</v>
      </c>
      <c r="K326" s="3">
        <v>5089</v>
      </c>
      <c r="L326" s="3">
        <v>16250</v>
      </c>
      <c r="M326" s="3">
        <v>4160</v>
      </c>
      <c r="N326" s="3">
        <v>892</v>
      </c>
      <c r="O326" s="3">
        <v>297</v>
      </c>
      <c r="P326" s="3">
        <v>418</v>
      </c>
      <c r="Q326" s="3">
        <v>74</v>
      </c>
    </row>
    <row r="327" spans="1:17" ht="9">
      <c r="A327" s="4" t="s">
        <v>23</v>
      </c>
      <c r="C327" s="3">
        <v>50363</v>
      </c>
      <c r="D327" s="3">
        <v>2292</v>
      </c>
      <c r="E327" s="3">
        <v>929</v>
      </c>
      <c r="F327" s="3">
        <v>1061</v>
      </c>
      <c r="G327" s="3">
        <v>13009</v>
      </c>
      <c r="H327" s="3">
        <v>2469</v>
      </c>
      <c r="I327" s="3">
        <v>3114</v>
      </c>
      <c r="J327" s="3">
        <v>24926</v>
      </c>
      <c r="K327" s="3">
        <v>5089</v>
      </c>
      <c r="L327" s="3">
        <v>16250</v>
      </c>
      <c r="M327" s="3">
        <v>4160</v>
      </c>
      <c r="N327" s="3">
        <v>892</v>
      </c>
      <c r="O327" s="3">
        <v>297</v>
      </c>
      <c r="P327" s="3">
        <v>418</v>
      </c>
      <c r="Q327" s="3">
        <v>74</v>
      </c>
    </row>
    <row r="328" spans="2:17" s="6" customFormat="1" ht="9">
      <c r="B328" s="10" t="s">
        <v>127</v>
      </c>
      <c r="C328" s="7">
        <f>C327/50363</f>
        <v>1</v>
      </c>
      <c r="D328" s="7">
        <f aca="true" t="shared" si="51" ref="D328:M328">D327/73825</f>
        <v>0.031046393498137488</v>
      </c>
      <c r="E328" s="7">
        <f t="shared" si="51"/>
        <v>0.01258381307145276</v>
      </c>
      <c r="F328" s="7">
        <f t="shared" si="51"/>
        <v>0.014371825262444972</v>
      </c>
      <c r="G328" s="7">
        <f t="shared" si="51"/>
        <v>0.176214019641043</v>
      </c>
      <c r="H328" s="7">
        <f t="shared" si="51"/>
        <v>0.033443955299695224</v>
      </c>
      <c r="I328" s="7">
        <f t="shared" si="51"/>
        <v>0.04218083305113444</v>
      </c>
      <c r="J328" s="7">
        <f t="shared" si="51"/>
        <v>0.3376363020656959</v>
      </c>
      <c r="K328" s="7">
        <f t="shared" si="51"/>
        <v>0.06893328818151033</v>
      </c>
      <c r="L328" s="7">
        <f t="shared" si="51"/>
        <v>0.22011513714866238</v>
      </c>
      <c r="M328" s="7">
        <f t="shared" si="51"/>
        <v>0.05634947511005757</v>
      </c>
      <c r="N328" s="7">
        <f>N327/892</f>
        <v>1</v>
      </c>
      <c r="O328" s="7">
        <f>O327/715</f>
        <v>0.4153846153846154</v>
      </c>
      <c r="P328" s="7">
        <f>P327/715</f>
        <v>0.5846153846153846</v>
      </c>
      <c r="Q328" s="7">
        <f>Q327/74</f>
        <v>1</v>
      </c>
    </row>
    <row r="329" spans="2:17" ht="4.5" customHeight="1">
      <c r="B329" s="1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9">
      <c r="A330" s="5" t="s">
        <v>126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9">
      <c r="B331" s="9" t="s">
        <v>120</v>
      </c>
      <c r="C331" s="3">
        <v>55855</v>
      </c>
      <c r="D331" s="3">
        <v>1028</v>
      </c>
      <c r="E331" s="3">
        <v>471</v>
      </c>
      <c r="F331" s="3">
        <v>913</v>
      </c>
      <c r="G331" s="3">
        <v>8568</v>
      </c>
      <c r="H331" s="3">
        <v>1230</v>
      </c>
      <c r="I331" s="3">
        <v>1129</v>
      </c>
      <c r="J331" s="3">
        <v>12636</v>
      </c>
      <c r="K331" s="3">
        <v>2413</v>
      </c>
      <c r="L331" s="3">
        <v>5756</v>
      </c>
      <c r="M331" s="3">
        <v>1727</v>
      </c>
      <c r="N331" s="3">
        <v>663</v>
      </c>
      <c r="O331" s="3">
        <v>303</v>
      </c>
      <c r="P331" s="3">
        <v>451</v>
      </c>
      <c r="Q331" s="3">
        <v>119</v>
      </c>
    </row>
    <row r="332" spans="1:17" ht="9">
      <c r="A332" s="4" t="s">
        <v>23</v>
      </c>
      <c r="C332" s="3">
        <v>55855</v>
      </c>
      <c r="D332" s="3">
        <v>1028</v>
      </c>
      <c r="E332" s="3">
        <v>471</v>
      </c>
      <c r="F332" s="3">
        <v>913</v>
      </c>
      <c r="G332" s="3">
        <v>8568</v>
      </c>
      <c r="H332" s="3">
        <v>1230</v>
      </c>
      <c r="I332" s="3">
        <v>1129</v>
      </c>
      <c r="J332" s="3">
        <v>12636</v>
      </c>
      <c r="K332" s="3">
        <v>2413</v>
      </c>
      <c r="L332" s="3">
        <v>5756</v>
      </c>
      <c r="M332" s="3">
        <v>1727</v>
      </c>
      <c r="N332" s="3">
        <v>663</v>
      </c>
      <c r="O332" s="3">
        <v>303</v>
      </c>
      <c r="P332" s="3">
        <v>451</v>
      </c>
      <c r="Q332" s="3">
        <v>119</v>
      </c>
    </row>
    <row r="333" spans="2:17" s="6" customFormat="1" ht="9">
      <c r="B333" s="10" t="s">
        <v>127</v>
      </c>
      <c r="C333" s="7">
        <f>C332/55855</f>
        <v>1</v>
      </c>
      <c r="D333" s="7">
        <f aca="true" t="shared" si="52" ref="D333:M333">D332/36308</f>
        <v>0.028313319378649334</v>
      </c>
      <c r="E333" s="7">
        <f t="shared" si="52"/>
        <v>0.012972347691968712</v>
      </c>
      <c r="F333" s="7">
        <f t="shared" si="52"/>
        <v>0.02514597333920899</v>
      </c>
      <c r="G333" s="7">
        <f t="shared" si="52"/>
        <v>0.23598105100804231</v>
      </c>
      <c r="H333" s="7">
        <f t="shared" si="52"/>
        <v>0.03387683155227498</v>
      </c>
      <c r="I333" s="7">
        <f t="shared" si="52"/>
        <v>0.031095075465462158</v>
      </c>
      <c r="J333" s="7">
        <f t="shared" si="52"/>
        <v>0.3480224743858103</v>
      </c>
      <c r="K333" s="7">
        <f t="shared" si="52"/>
        <v>0.06645918254930043</v>
      </c>
      <c r="L333" s="7">
        <f t="shared" si="52"/>
        <v>0.15853255480885756</v>
      </c>
      <c r="M333" s="7">
        <f t="shared" si="52"/>
        <v>0.04756527487055195</v>
      </c>
      <c r="N333" s="7">
        <f>N332/663</f>
        <v>1</v>
      </c>
      <c r="O333" s="7">
        <f>O332/754</f>
        <v>0.40185676392572944</v>
      </c>
      <c r="P333" s="7">
        <f>P332/754</f>
        <v>0.5981432360742706</v>
      </c>
      <c r="Q333" s="7">
        <f>Q332/119</f>
        <v>1</v>
      </c>
    </row>
    <row r="334" spans="2:17" ht="4.5" customHeight="1">
      <c r="B334" s="1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9">
      <c r="B335" s="1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</sheetData>
  <printOptions/>
  <pageMargins left="0.8999999999999999" right="0.8999999999999999" top="1" bottom="0.8" header="0.3" footer="0.3"/>
  <pageSetup firstPageNumber="55" useFirstPageNumber="1" horizontalDpi="600" verticalDpi="600" orientation="portrait" r:id="rId1"/>
  <headerFooter alignWithMargins="0">
    <oddHeader>&amp;C&amp;"Arial,Bold"&amp;11Supplement to the Statement of Vote
Counties by Congressional Districts
for US Senator</oddHeader>
    <oddFooter>&amp;C&amp;"Arial,Bold"&amp;8&amp;P</oddFooter>
  </headerFooter>
  <rowBreaks count="4" manualBreakCount="4">
    <brk id="76" max="255" man="1"/>
    <brk id="152" max="255" man="1"/>
    <brk id="227" max="255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2004-07-02T21:28:45Z</cp:lastPrinted>
  <dcterms:created xsi:type="dcterms:W3CDTF">2004-06-18T21:22:21Z</dcterms:created>
  <dcterms:modified xsi:type="dcterms:W3CDTF">2004-07-02T21:28:46Z</dcterms:modified>
  <cp:category/>
  <cp:version/>
  <cp:contentType/>
  <cp:contentStatus/>
</cp:coreProperties>
</file>