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386" windowWidth="14400" windowHeight="8640" tabRatio="500" activeTab="0"/>
  </bookViews>
  <sheets>
    <sheet name="Sheet1" sheetId="1" r:id="rId1"/>
  </sheets>
  <definedNames>
    <definedName name="_xlnm.Print_Area" localSheetId="0">'Sheet1'!$A$1:$R$335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<sst xmlns="http://schemas.openxmlformats.org/spreadsheetml/2006/main" count="311" uniqueCount="135">
  <si>
    <t>DEM</t>
  </si>
  <si>
    <t>REP</t>
  </si>
  <si>
    <t>AI</t>
  </si>
  <si>
    <t>GRN</t>
  </si>
  <si>
    <t>LIB</t>
  </si>
  <si>
    <t>PF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</si>
  <si>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</si>
  <si>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</si>
  <si>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</si>
  <si>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</si>
  <si>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</si>
  <si>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</si>
  <si>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</si>
  <si>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</si>
  <si>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</si>
  <si>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</si>
  <si>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</si>
  <si>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</si>
  <si>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</si>
  <si>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</si>
  <si>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</si>
  <si>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</si>
  <si>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</si>
  <si>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</t>
  </si>
  <si>
    <t>Alpine</t>
  </si>
  <si>
    <t>Amador</t>
  </si>
  <si>
    <t>Calaveras</t>
  </si>
  <si>
    <t>Sacramento</t>
  </si>
  <si>
    <t>Solano</t>
  </si>
  <si>
    <t>Congressional District 3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</si>
  <si>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</si>
  <si>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</si>
  <si>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</si>
  <si>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</si>
  <si>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</si>
  <si>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</si>
  <si>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</si>
  <si>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</t>
  </si>
  <si>
    <t>Congressional District 5</t>
  </si>
  <si>
    <t>Marin</t>
  </si>
  <si>
    <t>Congressional District 6</t>
  </si>
  <si>
    <t>Contra Costa</t>
  </si>
  <si>
    <t>Congressional District 7</t>
  </si>
  <si>
    <t>San Francisco</t>
  </si>
  <si>
    <t>Congressional District 8</t>
  </si>
  <si>
    <t>Alameda</t>
  </si>
  <si>
    <t>Congressional District 9</t>
  </si>
  <si>
    <t>Congressional District 10</t>
  </si>
  <si>
    <t>San Joaquin</t>
  </si>
  <si>
    <t>Santa Clara</t>
  </si>
  <si>
    <t>Congressional District 11</t>
  </si>
  <si>
    <t>San Mateo</t>
  </si>
  <si>
    <t>Congressional District 12</t>
  </si>
  <si>
    <t>Congressional District 13</t>
  </si>
  <si>
    <t>Santa Cruz</t>
  </si>
  <si>
    <t>Congressional District 14</t>
  </si>
  <si>
    <t>Congressional District 15</t>
  </si>
  <si>
    <t>Congressional District 16</t>
  </si>
  <si>
    <t>Monterey</t>
  </si>
  <si>
    <t>San Benito</t>
  </si>
  <si>
    <t>Congressional District 17</t>
  </si>
  <si>
    <t>Fresno</t>
  </si>
  <si>
    <t>Madera</t>
  </si>
  <si>
    <t>Merced</t>
  </si>
  <si>
    <t>Stanislaus</t>
  </si>
  <si>
    <t>Congressional District 18</t>
  </si>
  <si>
    <t>Mariposa</t>
  </si>
  <si>
    <t>Tuolumne</t>
  </si>
  <si>
    <t>Congressional District 19</t>
  </si>
  <si>
    <t>Kern</t>
  </si>
  <si>
    <t>Kings</t>
  </si>
  <si>
    <t>Congressional District 20</t>
  </si>
  <si>
    <t>Tulare</t>
  </si>
  <si>
    <t>Congressional District 21</t>
  </si>
  <si>
    <t>Los Angeles</t>
  </si>
  <si>
    <t>San Luis Obispo</t>
  </si>
  <si>
    <t>Congressional District 22</t>
  </si>
  <si>
    <t>Santa Barbara</t>
  </si>
  <si>
    <t>Ventura</t>
  </si>
  <si>
    <t>Congressional District 23</t>
  </si>
  <si>
    <t>Congressional District 24</t>
  </si>
  <si>
    <t>Inyo</t>
  </si>
  <si>
    <t>Mono</t>
  </si>
  <si>
    <t>San Bernardino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</si>
  <si>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</si>
  <si>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</si>
  <si>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</si>
  <si>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</si>
  <si>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</si>
  <si>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</si>
  <si>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</si>
  <si>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</si>
  <si>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</si>
  <si>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</si>
  <si>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</si>
  <si>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</si>
  <si>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</si>
  <si>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</si>
  <si>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</si>
  <si>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Orange</t>
  </si>
  <si>
    <t>Congressional District 40</t>
  </si>
  <si>
    <t>Riverside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</si>
  <si>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</si>
  <si>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</si>
  <si>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</si>
  <si>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</si>
  <si>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</si>
  <si>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</si>
  <si>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</si>
  <si>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</si>
  <si>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</si>
  <si>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</si>
  <si>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</si>
  <si>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</si>
  <si>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</si>
  <si>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</si>
  <si>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</si>
  <si>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</si>
  <si>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Percent, Total by Party</t>
  </si>
  <si>
    <t>Barbara 
Becnel</t>
  </si>
  <si>
    <t>Phil 
Angelides</t>
  </si>
  <si>
    <t>Vibert 
Greene</t>
  </si>
  <si>
    <t>Steve 
Westly</t>
  </si>
  <si>
    <t>Frank A. 
Macaluso, Jr.</t>
  </si>
  <si>
    <t>Michael 
Strimling</t>
  </si>
  <si>
    <t>Jerald Robert 
Gerst</t>
  </si>
  <si>
    <t>Joe 
Brouillette</t>
  </si>
  <si>
    <t>Bill 
Chambers</t>
  </si>
  <si>
    <t>Jeffrey R. 
Burns</t>
  </si>
  <si>
    <t>Arnold 
Schwarzenegger</t>
  </si>
  <si>
    <t>Robert C. 
Newman II</t>
  </si>
  <si>
    <t>Edward C. 
Noonan</t>
  </si>
  <si>
    <t>Peter Miguel 
Camejo</t>
  </si>
  <si>
    <t>Art 
Olivier</t>
  </si>
  <si>
    <t>Janice 
Jordan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</si>
</sst>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5"/>
  <sheetViews>
    <sheetView tabSelected="1" showOutlineSymbols="0" zoomScaleSheetLayoutView="75" workbookViewId="0" topLeftCell="A198">
      <selection activeCell="C261" sqref="C261"/>
    </sheetView>
  </sheetViews>
  <sheetFormatPr defaultColWidth="9.140625" defaultRowHeight="12.75" customHeight="1"/>
  <cols>
    <col min="1" max="1" width="2.7109375" style="1" customWidth="1"/>
    <col min="2" max="2" width="20.57421875" style="5" customWidth="1"/>
    <col min="3" max="3" width="8.28125" style="1" customWidth="1"/>
    <col min="4" max="4" width="10.140625" style="1" customWidth="1"/>
    <col min="5" max="5" width="7.57421875" style="1" customWidth="1"/>
    <col min="6" max="6" width="7.140625" style="1" customWidth="1"/>
    <col min="7" max="7" width="13.57421875" style="1" customWidth="1"/>
    <col min="8" max="8" width="9.421875" style="1" customWidth="1"/>
    <col min="9" max="9" width="7.7109375" style="1" customWidth="1"/>
    <col min="10" max="10" width="11.421875" style="1" customWidth="1"/>
    <col min="11" max="12" width="9.8515625" style="1" customWidth="1"/>
    <col min="13" max="13" width="15.00390625" style="1" customWidth="1"/>
    <col min="14" max="14" width="10.140625" style="1" customWidth="1"/>
    <col min="15" max="15" width="10.28125" style="1" customWidth="1"/>
    <col min="16" max="16" width="7.57421875" style="1" customWidth="1"/>
    <col min="17" max="17" width="7.00390625" style="1" customWidth="1"/>
    <col min="18" max="18" width="7.28125" style="1" customWidth="1"/>
    <col min="19" max="16384" width="7.7109375" style="1" customWidth="1"/>
  </cols>
  <sheetData>
    <row r="1" spans="3:18" s="12" customFormat="1" ht="36" customHeight="1">
      <c r="C1" s="12" t="s">
        <v>119</v>
      </c>
      <c r="D1" s="12" t="s">
        <v>120</v>
      </c>
      <c r="E1" s="12" t="s">
        <v>121</v>
      </c>
      <c r="F1" s="12" t="s">
        <v>122</v>
      </c>
      <c r="G1" s="12" t="s">
        <v>123</v>
      </c>
      <c r="H1" s="12" t="s">
        <v>124</v>
      </c>
      <c r="I1" s="12" t="s">
        <v>125</v>
      </c>
      <c r="J1" s="12" t="s">
        <v>126</v>
      </c>
      <c r="K1" s="12" t="s">
        <v>127</v>
      </c>
      <c r="L1" s="12" t="s">
        <v>128</v>
      </c>
      <c r="M1" s="12" t="s">
        <v>129</v>
      </c>
      <c r="N1" s="12" t="s">
        <v>130</v>
      </c>
      <c r="O1" s="12" t="s">
        <v>131</v>
      </c>
      <c r="P1" s="12" t="s">
        <v>132</v>
      </c>
      <c r="Q1" s="12" t="s">
        <v>133</v>
      </c>
      <c r="R1" s="12" t="s">
        <v>134</v>
      </c>
    </row>
    <row r="2" spans="3:18" s="11" customFormat="1" ht="9"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2</v>
      </c>
      <c r="P2" s="11" t="s">
        <v>3</v>
      </c>
      <c r="Q2" s="11" t="s">
        <v>4</v>
      </c>
      <c r="R2" s="11" t="s">
        <v>5</v>
      </c>
    </row>
    <row r="3" spans="1:2" s="10" customFormat="1" ht="9.75" customHeight="1">
      <c r="A3" s="8" t="s">
        <v>13</v>
      </c>
      <c r="B3" s="9"/>
    </row>
    <row r="4" spans="2:18" ht="9.75" customHeight="1">
      <c r="B4" s="5" t="s">
        <v>6</v>
      </c>
      <c r="C4" s="2">
        <v>66</v>
      </c>
      <c r="D4" s="2">
        <v>1128</v>
      </c>
      <c r="E4" s="2">
        <v>43</v>
      </c>
      <c r="F4" s="2">
        <v>923</v>
      </c>
      <c r="G4" s="2">
        <v>41</v>
      </c>
      <c r="H4" s="2">
        <v>53</v>
      </c>
      <c r="I4" s="2">
        <v>51</v>
      </c>
      <c r="J4" s="2">
        <v>52</v>
      </c>
      <c r="K4" s="2">
        <v>195</v>
      </c>
      <c r="L4" s="2">
        <v>216</v>
      </c>
      <c r="M4" s="2">
        <v>1962</v>
      </c>
      <c r="N4" s="2">
        <v>166</v>
      </c>
      <c r="O4" s="2">
        <v>69</v>
      </c>
      <c r="P4" s="2">
        <v>37</v>
      </c>
      <c r="Q4" s="2">
        <v>31</v>
      </c>
      <c r="R4" s="2">
        <v>2</v>
      </c>
    </row>
    <row r="5" spans="2:18" ht="9.75" customHeight="1">
      <c r="B5" s="5" t="s">
        <v>7</v>
      </c>
      <c r="C5" s="2">
        <v>548</v>
      </c>
      <c r="D5" s="2">
        <v>8832</v>
      </c>
      <c r="E5" s="2">
        <v>235</v>
      </c>
      <c r="F5" s="2">
        <v>7817</v>
      </c>
      <c r="G5" s="2">
        <v>165</v>
      </c>
      <c r="H5" s="2">
        <v>338</v>
      </c>
      <c r="I5" s="2">
        <v>159</v>
      </c>
      <c r="J5" s="2">
        <v>421</v>
      </c>
      <c r="K5" s="2">
        <v>559</v>
      </c>
      <c r="L5" s="2">
        <v>533</v>
      </c>
      <c r="M5" s="2">
        <v>10516</v>
      </c>
      <c r="N5" s="2">
        <v>382</v>
      </c>
      <c r="O5" s="2">
        <v>281</v>
      </c>
      <c r="P5" s="2">
        <v>1692</v>
      </c>
      <c r="Q5" s="2">
        <v>231</v>
      </c>
      <c r="R5" s="2">
        <v>54</v>
      </c>
    </row>
    <row r="6" spans="2:18" ht="9.75" customHeight="1">
      <c r="B6" s="5" t="s">
        <v>8</v>
      </c>
      <c r="C6" s="2">
        <v>205</v>
      </c>
      <c r="D6" s="2">
        <v>3147</v>
      </c>
      <c r="E6" s="2">
        <v>80</v>
      </c>
      <c r="F6" s="2">
        <v>2847</v>
      </c>
      <c r="G6" s="2">
        <v>95</v>
      </c>
      <c r="H6" s="2">
        <v>136</v>
      </c>
      <c r="I6" s="2">
        <v>53</v>
      </c>
      <c r="J6" s="2">
        <v>119</v>
      </c>
      <c r="K6" s="2">
        <v>238</v>
      </c>
      <c r="L6" s="2">
        <v>154</v>
      </c>
      <c r="M6" s="2">
        <v>4223</v>
      </c>
      <c r="N6" s="2">
        <v>177</v>
      </c>
      <c r="O6" s="2">
        <v>168</v>
      </c>
      <c r="P6" s="2">
        <v>144</v>
      </c>
      <c r="Q6" s="2">
        <v>53</v>
      </c>
      <c r="R6" s="2">
        <v>6</v>
      </c>
    </row>
    <row r="7" spans="2:18" ht="9.75" customHeight="1">
      <c r="B7" s="5" t="s">
        <v>9</v>
      </c>
      <c r="C7" s="2">
        <v>364</v>
      </c>
      <c r="D7" s="2">
        <v>6205</v>
      </c>
      <c r="E7" s="2">
        <v>119</v>
      </c>
      <c r="F7" s="2">
        <v>4656</v>
      </c>
      <c r="G7" s="2">
        <v>99</v>
      </c>
      <c r="H7" s="2">
        <v>236</v>
      </c>
      <c r="I7" s="2">
        <v>64</v>
      </c>
      <c r="J7" s="2">
        <v>213</v>
      </c>
      <c r="K7" s="2">
        <v>314</v>
      </c>
      <c r="L7" s="2">
        <v>276</v>
      </c>
      <c r="M7" s="2">
        <v>5542</v>
      </c>
      <c r="N7" s="2">
        <v>248</v>
      </c>
      <c r="O7" s="2">
        <v>180</v>
      </c>
      <c r="P7" s="2">
        <v>766</v>
      </c>
      <c r="Q7" s="2">
        <v>117</v>
      </c>
      <c r="R7" s="2">
        <v>42</v>
      </c>
    </row>
    <row r="8" spans="2:18" ht="9.75" customHeight="1">
      <c r="B8" s="5" t="s">
        <v>10</v>
      </c>
      <c r="C8" s="2">
        <v>318</v>
      </c>
      <c r="D8" s="2">
        <v>7098</v>
      </c>
      <c r="E8" s="2">
        <v>148</v>
      </c>
      <c r="F8" s="2">
        <v>7503</v>
      </c>
      <c r="G8" s="2">
        <v>185</v>
      </c>
      <c r="H8" s="2">
        <v>173</v>
      </c>
      <c r="I8" s="2">
        <v>126</v>
      </c>
      <c r="J8" s="2">
        <v>214</v>
      </c>
      <c r="K8" s="2">
        <v>321</v>
      </c>
      <c r="L8" s="2">
        <v>462</v>
      </c>
      <c r="M8" s="2">
        <v>9749</v>
      </c>
      <c r="N8" s="2">
        <v>401</v>
      </c>
      <c r="O8" s="2">
        <v>270</v>
      </c>
      <c r="P8" s="2">
        <v>282</v>
      </c>
      <c r="Q8" s="2">
        <v>110</v>
      </c>
      <c r="R8" s="2">
        <v>12</v>
      </c>
    </row>
    <row r="9" spans="2:18" ht="9.75" customHeight="1">
      <c r="B9" s="5" t="s">
        <v>11</v>
      </c>
      <c r="C9" s="2">
        <v>268</v>
      </c>
      <c r="D9" s="2">
        <v>5325</v>
      </c>
      <c r="E9" s="2">
        <v>85</v>
      </c>
      <c r="F9" s="2">
        <v>5095</v>
      </c>
      <c r="G9" s="2">
        <v>121</v>
      </c>
      <c r="H9" s="2">
        <v>162</v>
      </c>
      <c r="I9" s="2">
        <v>68</v>
      </c>
      <c r="J9" s="2">
        <v>192</v>
      </c>
      <c r="K9" s="2">
        <v>306</v>
      </c>
      <c r="L9" s="2">
        <v>223</v>
      </c>
      <c r="M9" s="2">
        <v>5778</v>
      </c>
      <c r="N9" s="2">
        <v>236</v>
      </c>
      <c r="O9" s="2">
        <v>186</v>
      </c>
      <c r="P9" s="2">
        <v>241</v>
      </c>
      <c r="Q9" s="2">
        <v>86</v>
      </c>
      <c r="R9" s="2">
        <v>18</v>
      </c>
    </row>
    <row r="10" spans="2:18" ht="9.75" customHeight="1">
      <c r="B10" s="5" t="s">
        <v>12</v>
      </c>
      <c r="C10" s="2">
        <v>262</v>
      </c>
      <c r="D10" s="2">
        <v>9394</v>
      </c>
      <c r="E10" s="2">
        <v>129</v>
      </c>
      <c r="F10" s="2">
        <v>7193</v>
      </c>
      <c r="G10" s="2">
        <v>228</v>
      </c>
      <c r="H10" s="2">
        <v>154</v>
      </c>
      <c r="I10" s="2">
        <v>74</v>
      </c>
      <c r="J10" s="2">
        <v>168</v>
      </c>
      <c r="K10" s="2">
        <v>274</v>
      </c>
      <c r="L10" s="2">
        <v>207</v>
      </c>
      <c r="M10" s="2">
        <v>7794</v>
      </c>
      <c r="N10" s="2">
        <v>260</v>
      </c>
      <c r="O10" s="2">
        <v>159</v>
      </c>
      <c r="P10" s="2">
        <v>492</v>
      </c>
      <c r="Q10" s="2">
        <v>83</v>
      </c>
      <c r="R10" s="2">
        <v>25</v>
      </c>
    </row>
    <row r="11" spans="1:18" ht="9.75" customHeight="1">
      <c r="A11" s="3" t="s">
        <v>117</v>
      </c>
      <c r="C11" s="2">
        <v>2031</v>
      </c>
      <c r="D11" s="2">
        <v>41129</v>
      </c>
      <c r="E11" s="2">
        <v>839</v>
      </c>
      <c r="F11" s="2">
        <v>36034</v>
      </c>
      <c r="G11" s="2">
        <v>934</v>
      </c>
      <c r="H11" s="2">
        <v>1252</v>
      </c>
      <c r="I11" s="2">
        <v>595</v>
      </c>
      <c r="J11" s="2">
        <v>1379</v>
      </c>
      <c r="K11" s="2">
        <v>2207</v>
      </c>
      <c r="L11" s="2">
        <v>2071</v>
      </c>
      <c r="M11" s="2">
        <v>45564</v>
      </c>
      <c r="N11" s="2">
        <v>1870</v>
      </c>
      <c r="O11" s="2">
        <v>1313</v>
      </c>
      <c r="P11" s="2">
        <v>3654</v>
      </c>
      <c r="Q11" s="2">
        <v>711</v>
      </c>
      <c r="R11" s="2">
        <v>159</v>
      </c>
    </row>
    <row r="12" spans="2:18" s="4" customFormat="1" ht="9.75" customHeight="1">
      <c r="B12" s="6" t="s">
        <v>118</v>
      </c>
      <c r="C12" s="4">
        <f aca="true" t="shared" si="0" ref="C12:J12">C11/84193</f>
        <v>0.02412314562968418</v>
      </c>
      <c r="D12" s="4">
        <f t="shared" si="0"/>
        <v>0.4885085458411032</v>
      </c>
      <c r="E12" s="4">
        <f t="shared" si="0"/>
        <v>0.00996519900704334</v>
      </c>
      <c r="F12" s="4">
        <f t="shared" si="0"/>
        <v>0.4279928260069127</v>
      </c>
      <c r="G12" s="4">
        <f t="shared" si="0"/>
        <v>0.011093558846935019</v>
      </c>
      <c r="H12" s="4">
        <f t="shared" si="0"/>
        <v>0.014870594942572422</v>
      </c>
      <c r="I12" s="4">
        <f t="shared" si="0"/>
        <v>0.007067095839321559</v>
      </c>
      <c r="J12" s="4">
        <f t="shared" si="0"/>
        <v>0.016379033886427613</v>
      </c>
      <c r="K12" s="4">
        <f>K11/51712</f>
        <v>0.04267868193069307</v>
      </c>
      <c r="L12" s="4">
        <f>L11/51712</f>
        <v>0.04004873143564357</v>
      </c>
      <c r="M12" s="4">
        <f>M11/51712</f>
        <v>0.8811107673267327</v>
      </c>
      <c r="N12" s="4">
        <f>N11/51712</f>
        <v>0.036161819306930694</v>
      </c>
      <c r="O12" s="4">
        <f>O11/1313</f>
        <v>1</v>
      </c>
      <c r="P12" s="4">
        <f>P11/3654</f>
        <v>1</v>
      </c>
      <c r="Q12" s="4">
        <f>Q11/711</f>
        <v>1</v>
      </c>
      <c r="R12" s="4">
        <f>R11/159</f>
        <v>1</v>
      </c>
    </row>
    <row r="13" spans="2:18" ht="4.5" customHeight="1"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9.75" customHeight="1">
      <c r="A14" s="3" t="s">
        <v>23</v>
      </c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9.75" customHeight="1">
      <c r="B15" s="5" t="s">
        <v>14</v>
      </c>
      <c r="C15" s="2">
        <v>319</v>
      </c>
      <c r="D15" s="2">
        <v>5572</v>
      </c>
      <c r="E15" s="2">
        <v>179</v>
      </c>
      <c r="F15" s="2">
        <v>7338</v>
      </c>
      <c r="G15" s="2">
        <v>86</v>
      </c>
      <c r="H15" s="2">
        <v>212</v>
      </c>
      <c r="I15" s="2">
        <v>108</v>
      </c>
      <c r="J15" s="2">
        <v>270</v>
      </c>
      <c r="K15" s="2">
        <v>504</v>
      </c>
      <c r="L15" s="2">
        <v>441</v>
      </c>
      <c r="M15" s="2">
        <v>15148</v>
      </c>
      <c r="N15" s="2">
        <v>523</v>
      </c>
      <c r="O15" s="2">
        <v>215</v>
      </c>
      <c r="P15" s="2">
        <v>487</v>
      </c>
      <c r="Q15" s="2">
        <v>138</v>
      </c>
      <c r="R15" s="2">
        <v>29</v>
      </c>
    </row>
    <row r="16" spans="2:18" ht="9.75" customHeight="1">
      <c r="B16" s="5" t="s">
        <v>15</v>
      </c>
      <c r="C16" s="2">
        <v>49</v>
      </c>
      <c r="D16" s="2">
        <v>503</v>
      </c>
      <c r="E16" s="2">
        <v>23</v>
      </c>
      <c r="F16" s="2">
        <v>686</v>
      </c>
      <c r="G16" s="2">
        <v>21</v>
      </c>
      <c r="H16" s="2">
        <v>19</v>
      </c>
      <c r="I16" s="2">
        <v>33</v>
      </c>
      <c r="J16" s="2">
        <v>37</v>
      </c>
      <c r="K16" s="2">
        <v>61</v>
      </c>
      <c r="L16" s="2">
        <v>45</v>
      </c>
      <c r="M16" s="2">
        <v>2021</v>
      </c>
      <c r="N16" s="2">
        <v>80</v>
      </c>
      <c r="O16" s="2">
        <v>28</v>
      </c>
      <c r="P16" s="2">
        <v>10</v>
      </c>
      <c r="Q16" s="2">
        <v>8</v>
      </c>
      <c r="R16" s="2">
        <v>3</v>
      </c>
    </row>
    <row r="17" spans="2:18" ht="9.75" customHeight="1">
      <c r="B17" s="5" t="s">
        <v>16</v>
      </c>
      <c r="C17" s="2">
        <v>60</v>
      </c>
      <c r="D17" s="2">
        <v>552</v>
      </c>
      <c r="E17" s="2">
        <v>39</v>
      </c>
      <c r="F17" s="2">
        <v>1316</v>
      </c>
      <c r="G17" s="2">
        <v>40</v>
      </c>
      <c r="H17" s="2">
        <v>52</v>
      </c>
      <c r="I17" s="2">
        <v>42</v>
      </c>
      <c r="J17" s="2">
        <v>63</v>
      </c>
      <c r="K17" s="2">
        <v>100</v>
      </c>
      <c r="L17" s="2">
        <v>108</v>
      </c>
      <c r="M17" s="2">
        <v>3167</v>
      </c>
      <c r="N17" s="2">
        <v>208</v>
      </c>
      <c r="O17" s="2">
        <v>81</v>
      </c>
      <c r="P17" s="2">
        <v>19</v>
      </c>
      <c r="Q17" s="2">
        <v>17</v>
      </c>
      <c r="R17" s="2">
        <v>4</v>
      </c>
    </row>
    <row r="18" spans="2:18" ht="9.75" customHeight="1">
      <c r="B18" s="5" t="s">
        <v>17</v>
      </c>
      <c r="C18" s="2">
        <v>486</v>
      </c>
      <c r="D18" s="2">
        <v>4098</v>
      </c>
      <c r="E18" s="2">
        <v>248</v>
      </c>
      <c r="F18" s="2">
        <v>7699</v>
      </c>
      <c r="G18" s="2">
        <v>204</v>
      </c>
      <c r="H18" s="2">
        <v>308</v>
      </c>
      <c r="I18" s="2">
        <v>215</v>
      </c>
      <c r="J18" s="2">
        <v>414</v>
      </c>
      <c r="K18" s="2">
        <v>880</v>
      </c>
      <c r="L18" s="2">
        <v>852</v>
      </c>
      <c r="M18" s="2">
        <v>18412</v>
      </c>
      <c r="N18" s="2">
        <v>899</v>
      </c>
      <c r="O18" s="2">
        <v>425</v>
      </c>
      <c r="P18" s="2">
        <v>127</v>
      </c>
      <c r="Q18" s="2">
        <v>139</v>
      </c>
      <c r="R18" s="2">
        <v>19</v>
      </c>
    </row>
    <row r="19" spans="2:18" ht="9.75" customHeight="1">
      <c r="B19" s="5" t="s">
        <v>18</v>
      </c>
      <c r="C19" s="2">
        <v>238</v>
      </c>
      <c r="D19" s="2">
        <v>1763</v>
      </c>
      <c r="E19" s="2">
        <v>114</v>
      </c>
      <c r="F19" s="2">
        <v>1895</v>
      </c>
      <c r="G19" s="2">
        <v>63</v>
      </c>
      <c r="H19" s="2">
        <v>134</v>
      </c>
      <c r="I19" s="2">
        <v>84</v>
      </c>
      <c r="J19" s="2">
        <v>166</v>
      </c>
      <c r="K19" s="2">
        <v>239</v>
      </c>
      <c r="L19" s="2">
        <v>239</v>
      </c>
      <c r="M19" s="2">
        <v>5250</v>
      </c>
      <c r="N19" s="2">
        <v>247</v>
      </c>
      <c r="O19" s="2">
        <v>119</v>
      </c>
      <c r="P19" s="2">
        <v>70</v>
      </c>
      <c r="Q19" s="2">
        <v>67</v>
      </c>
      <c r="R19" s="2">
        <v>7</v>
      </c>
    </row>
    <row r="20" spans="2:18" ht="9.75" customHeight="1">
      <c r="B20" s="5" t="s">
        <v>19</v>
      </c>
      <c r="C20" s="2">
        <v>173</v>
      </c>
      <c r="D20" s="2">
        <v>1916</v>
      </c>
      <c r="E20" s="2">
        <v>88</v>
      </c>
      <c r="F20" s="2">
        <v>2122</v>
      </c>
      <c r="G20" s="2">
        <v>79</v>
      </c>
      <c r="H20" s="2">
        <v>64</v>
      </c>
      <c r="I20" s="2">
        <v>103</v>
      </c>
      <c r="J20" s="2">
        <v>146</v>
      </c>
      <c r="K20" s="2">
        <v>240</v>
      </c>
      <c r="L20" s="2">
        <v>176</v>
      </c>
      <c r="M20" s="2">
        <v>7674</v>
      </c>
      <c r="N20" s="2">
        <v>349</v>
      </c>
      <c r="O20" s="2">
        <v>88</v>
      </c>
      <c r="P20" s="2">
        <v>29</v>
      </c>
      <c r="Q20" s="2">
        <v>39</v>
      </c>
      <c r="R20" s="2">
        <v>4</v>
      </c>
    </row>
    <row r="21" spans="2:18" ht="9.75" customHeight="1">
      <c r="B21" s="5" t="s">
        <v>20</v>
      </c>
      <c r="C21" s="2">
        <v>156</v>
      </c>
      <c r="D21" s="2">
        <v>1357</v>
      </c>
      <c r="E21" s="2">
        <v>110</v>
      </c>
      <c r="F21" s="2">
        <v>2701</v>
      </c>
      <c r="G21" s="2">
        <v>86</v>
      </c>
      <c r="H21" s="2">
        <v>98</v>
      </c>
      <c r="I21" s="2">
        <v>117</v>
      </c>
      <c r="J21" s="2">
        <v>138</v>
      </c>
      <c r="K21" s="2">
        <v>278</v>
      </c>
      <c r="L21" s="2">
        <v>246</v>
      </c>
      <c r="M21" s="2">
        <v>5730</v>
      </c>
      <c r="N21" s="2">
        <v>320</v>
      </c>
      <c r="O21" s="2">
        <v>190</v>
      </c>
      <c r="P21" s="2">
        <v>25</v>
      </c>
      <c r="Q21" s="2">
        <v>52</v>
      </c>
      <c r="R21" s="2">
        <v>17</v>
      </c>
    </row>
    <row r="22" spans="2:18" ht="9.75" customHeight="1">
      <c r="B22" s="5" t="s">
        <v>21</v>
      </c>
      <c r="C22" s="2">
        <v>79</v>
      </c>
      <c r="D22" s="2">
        <v>630</v>
      </c>
      <c r="E22" s="2">
        <v>33</v>
      </c>
      <c r="F22" s="2">
        <v>844</v>
      </c>
      <c r="G22" s="2">
        <v>38</v>
      </c>
      <c r="H22" s="2">
        <v>51</v>
      </c>
      <c r="I22" s="2">
        <v>27</v>
      </c>
      <c r="J22" s="2">
        <v>73</v>
      </c>
      <c r="K22" s="2">
        <v>118</v>
      </c>
      <c r="L22" s="2">
        <v>95</v>
      </c>
      <c r="M22" s="2">
        <v>1604</v>
      </c>
      <c r="N22" s="2">
        <v>79</v>
      </c>
      <c r="O22" s="2">
        <v>56</v>
      </c>
      <c r="P22" s="2">
        <v>48</v>
      </c>
      <c r="Q22" s="2">
        <v>43</v>
      </c>
      <c r="R22" s="2">
        <v>7</v>
      </c>
    </row>
    <row r="23" spans="2:18" ht="9.75" customHeight="1">
      <c r="B23" s="5" t="s">
        <v>12</v>
      </c>
      <c r="C23" s="2">
        <v>45</v>
      </c>
      <c r="D23" s="2">
        <v>939</v>
      </c>
      <c r="E23" s="2">
        <v>26</v>
      </c>
      <c r="F23" s="2">
        <v>954</v>
      </c>
      <c r="G23" s="2">
        <v>34</v>
      </c>
      <c r="H23" s="2">
        <v>21</v>
      </c>
      <c r="I23" s="2">
        <v>19</v>
      </c>
      <c r="J23" s="2">
        <v>37</v>
      </c>
      <c r="K23" s="2">
        <v>64</v>
      </c>
      <c r="L23" s="2">
        <v>35</v>
      </c>
      <c r="M23" s="2">
        <v>2553</v>
      </c>
      <c r="N23" s="2">
        <v>62</v>
      </c>
      <c r="O23" s="2">
        <v>32</v>
      </c>
      <c r="P23" s="2">
        <v>28</v>
      </c>
      <c r="Q23" s="2">
        <v>11</v>
      </c>
      <c r="R23" s="2">
        <v>1</v>
      </c>
    </row>
    <row r="24" spans="2:18" ht="9.75" customHeight="1">
      <c r="B24" s="5" t="s">
        <v>22</v>
      </c>
      <c r="C24" s="2">
        <v>124</v>
      </c>
      <c r="D24" s="2">
        <v>1363</v>
      </c>
      <c r="E24" s="2">
        <v>79</v>
      </c>
      <c r="F24" s="2">
        <v>1690</v>
      </c>
      <c r="G24" s="2">
        <v>61</v>
      </c>
      <c r="H24" s="2">
        <v>66</v>
      </c>
      <c r="I24" s="2">
        <v>64</v>
      </c>
      <c r="J24" s="2">
        <v>122</v>
      </c>
      <c r="K24" s="2">
        <v>153</v>
      </c>
      <c r="L24" s="2">
        <v>176</v>
      </c>
      <c r="M24" s="2">
        <v>4529</v>
      </c>
      <c r="N24" s="2">
        <v>171</v>
      </c>
      <c r="O24" s="2">
        <v>135</v>
      </c>
      <c r="P24" s="2">
        <v>53</v>
      </c>
      <c r="Q24" s="2">
        <v>49</v>
      </c>
      <c r="R24" s="2">
        <v>10</v>
      </c>
    </row>
    <row r="25" spans="1:18" ht="9.75" customHeight="1">
      <c r="A25" s="3" t="s">
        <v>117</v>
      </c>
      <c r="C25" s="2">
        <v>1729</v>
      </c>
      <c r="D25" s="2">
        <v>18693</v>
      </c>
      <c r="E25" s="2">
        <v>939</v>
      </c>
      <c r="F25" s="2">
        <v>27245</v>
      </c>
      <c r="G25" s="2">
        <v>712</v>
      </c>
      <c r="H25" s="2">
        <v>1025</v>
      </c>
      <c r="I25" s="2">
        <v>812</v>
      </c>
      <c r="J25" s="2">
        <v>1466</v>
      </c>
      <c r="K25" s="2">
        <v>2637</v>
      </c>
      <c r="L25" s="2">
        <v>2413</v>
      </c>
      <c r="M25" s="2">
        <v>66088</v>
      </c>
      <c r="N25" s="2">
        <v>2938</v>
      </c>
      <c r="O25" s="2">
        <v>1369</v>
      </c>
      <c r="P25" s="2">
        <v>896</v>
      </c>
      <c r="Q25" s="2">
        <v>563</v>
      </c>
      <c r="R25" s="2">
        <v>101</v>
      </c>
    </row>
    <row r="26" spans="2:18" s="4" customFormat="1" ht="9.75" customHeight="1">
      <c r="B26" s="6" t="s">
        <v>118</v>
      </c>
      <c r="C26" s="4">
        <f aca="true" t="shared" si="1" ref="C26:J26">C25/52621</f>
        <v>0.03285760437848007</v>
      </c>
      <c r="D26" s="4">
        <f t="shared" si="1"/>
        <v>0.35523840291898673</v>
      </c>
      <c r="E26" s="4">
        <f t="shared" si="1"/>
        <v>0.01784458676193915</v>
      </c>
      <c r="F26" s="4">
        <f t="shared" si="1"/>
        <v>0.5177590695729841</v>
      </c>
      <c r="G26" s="4">
        <f t="shared" si="1"/>
        <v>0.013530719674654605</v>
      </c>
      <c r="H26" s="4">
        <f t="shared" si="1"/>
        <v>0.019478915261967655</v>
      </c>
      <c r="I26" s="4">
        <f t="shared" si="1"/>
        <v>0.015431101651431937</v>
      </c>
      <c r="J26" s="4">
        <f t="shared" si="1"/>
        <v>0.02785959977955569</v>
      </c>
      <c r="K26" s="4">
        <f>K25/74076</f>
        <v>0.035598574437064635</v>
      </c>
      <c r="L26" s="4">
        <f>L25/74076</f>
        <v>0.032574653059020464</v>
      </c>
      <c r="M26" s="4">
        <f>M25/74076</f>
        <v>0.8921648037151034</v>
      </c>
      <c r="N26" s="4">
        <f>N25/74076</f>
        <v>0.039661968788811494</v>
      </c>
      <c r="O26" s="4">
        <f>O25/1369</f>
        <v>1</v>
      </c>
      <c r="P26" s="4">
        <f>P25/896</f>
        <v>1</v>
      </c>
      <c r="Q26" s="4">
        <f>Q25/563</f>
        <v>1</v>
      </c>
      <c r="R26" s="4">
        <f>R25/101</f>
        <v>1</v>
      </c>
    </row>
    <row r="27" spans="2:18" ht="4.5" customHeight="1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9.75" customHeight="1">
      <c r="A28" s="3" t="s">
        <v>29</v>
      </c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9.75" customHeight="1">
      <c r="B29" s="5" t="s">
        <v>24</v>
      </c>
      <c r="C29" s="2">
        <v>12</v>
      </c>
      <c r="D29" s="2">
        <v>81</v>
      </c>
      <c r="E29" s="2">
        <v>3</v>
      </c>
      <c r="F29" s="2">
        <v>59</v>
      </c>
      <c r="G29" s="2">
        <v>1</v>
      </c>
      <c r="H29" s="2">
        <v>9</v>
      </c>
      <c r="I29" s="2">
        <v>1</v>
      </c>
      <c r="J29" s="2">
        <v>0</v>
      </c>
      <c r="K29" s="2">
        <v>11</v>
      </c>
      <c r="L29" s="2">
        <v>6</v>
      </c>
      <c r="M29" s="2">
        <v>163</v>
      </c>
      <c r="N29" s="2">
        <v>8</v>
      </c>
      <c r="O29" s="2">
        <v>1</v>
      </c>
      <c r="P29" s="2">
        <v>8</v>
      </c>
      <c r="Q29" s="2">
        <v>1</v>
      </c>
      <c r="R29" s="2">
        <v>1</v>
      </c>
    </row>
    <row r="30" spans="2:18" ht="9.75" customHeight="1">
      <c r="B30" s="5" t="s">
        <v>25</v>
      </c>
      <c r="C30" s="2">
        <v>117</v>
      </c>
      <c r="D30" s="2">
        <v>1939</v>
      </c>
      <c r="E30" s="2">
        <v>67</v>
      </c>
      <c r="F30" s="2">
        <v>1976</v>
      </c>
      <c r="G30" s="2">
        <v>47</v>
      </c>
      <c r="H30" s="2">
        <v>55</v>
      </c>
      <c r="I30" s="2">
        <v>43</v>
      </c>
      <c r="J30" s="2">
        <v>73</v>
      </c>
      <c r="K30" s="2">
        <v>201</v>
      </c>
      <c r="L30" s="2">
        <v>107</v>
      </c>
      <c r="M30" s="2">
        <v>5029</v>
      </c>
      <c r="N30" s="2">
        <v>174</v>
      </c>
      <c r="O30" s="2">
        <v>72</v>
      </c>
      <c r="P30" s="2">
        <v>58</v>
      </c>
      <c r="Q30" s="2">
        <v>47</v>
      </c>
      <c r="R30" s="2">
        <v>2</v>
      </c>
    </row>
    <row r="31" spans="2:18" ht="9.75" customHeight="1">
      <c r="B31" s="5" t="s">
        <v>26</v>
      </c>
      <c r="C31" s="2">
        <v>157</v>
      </c>
      <c r="D31" s="2">
        <v>2121</v>
      </c>
      <c r="E31" s="2">
        <v>88</v>
      </c>
      <c r="F31" s="2">
        <v>2061</v>
      </c>
      <c r="G31" s="2">
        <v>60</v>
      </c>
      <c r="H31" s="2">
        <v>50</v>
      </c>
      <c r="I31" s="2">
        <v>64</v>
      </c>
      <c r="J31" s="2">
        <v>100</v>
      </c>
      <c r="K31" s="2">
        <v>233</v>
      </c>
      <c r="L31" s="2">
        <v>160</v>
      </c>
      <c r="M31" s="2">
        <v>5105</v>
      </c>
      <c r="N31" s="2">
        <v>181</v>
      </c>
      <c r="O31" s="2">
        <v>94</v>
      </c>
      <c r="P31" s="2">
        <v>105</v>
      </c>
      <c r="Q31" s="2">
        <v>86</v>
      </c>
      <c r="R31" s="2">
        <v>12</v>
      </c>
    </row>
    <row r="32" spans="2:18" ht="9.75" customHeight="1">
      <c r="B32" s="5" t="s">
        <v>27</v>
      </c>
      <c r="C32" s="2">
        <v>779</v>
      </c>
      <c r="D32" s="2">
        <v>23749</v>
      </c>
      <c r="E32" s="2">
        <v>426</v>
      </c>
      <c r="F32" s="2">
        <v>20619</v>
      </c>
      <c r="G32" s="2">
        <v>345</v>
      </c>
      <c r="H32" s="2">
        <v>422</v>
      </c>
      <c r="I32" s="2">
        <v>235</v>
      </c>
      <c r="J32" s="2">
        <v>581</v>
      </c>
      <c r="K32" s="2">
        <v>1397</v>
      </c>
      <c r="L32" s="2">
        <v>1016</v>
      </c>
      <c r="M32" s="2">
        <v>45503</v>
      </c>
      <c r="N32" s="2">
        <v>1069</v>
      </c>
      <c r="O32" s="2">
        <v>556</v>
      </c>
      <c r="P32" s="2">
        <v>385</v>
      </c>
      <c r="Q32" s="2">
        <v>296</v>
      </c>
      <c r="R32" s="2">
        <v>60</v>
      </c>
    </row>
    <row r="33" spans="2:18" ht="9.75" customHeight="1">
      <c r="B33" s="5" t="s">
        <v>28</v>
      </c>
      <c r="C33" s="2">
        <v>47</v>
      </c>
      <c r="D33" s="2">
        <v>707</v>
      </c>
      <c r="E33" s="2">
        <v>16</v>
      </c>
      <c r="F33" s="2">
        <v>746</v>
      </c>
      <c r="G33" s="2">
        <v>24</v>
      </c>
      <c r="H33" s="2">
        <v>12</v>
      </c>
      <c r="I33" s="2">
        <v>8</v>
      </c>
      <c r="J33" s="2">
        <v>28</v>
      </c>
      <c r="K33" s="2">
        <v>40</v>
      </c>
      <c r="L33" s="2">
        <v>33</v>
      </c>
      <c r="M33" s="2">
        <v>1469</v>
      </c>
      <c r="N33" s="2">
        <v>37</v>
      </c>
      <c r="O33" s="2">
        <v>19</v>
      </c>
      <c r="P33" s="2">
        <v>12</v>
      </c>
      <c r="Q33" s="2">
        <v>15</v>
      </c>
      <c r="R33" s="2">
        <v>3</v>
      </c>
    </row>
    <row r="34" spans="1:18" ht="9.75" customHeight="1">
      <c r="A34" s="3" t="s">
        <v>117</v>
      </c>
      <c r="C34" s="2">
        <v>1112</v>
      </c>
      <c r="D34" s="2">
        <v>28597</v>
      </c>
      <c r="E34" s="2">
        <v>600</v>
      </c>
      <c r="F34" s="2">
        <v>25461</v>
      </c>
      <c r="G34" s="2">
        <v>477</v>
      </c>
      <c r="H34" s="2">
        <v>548</v>
      </c>
      <c r="I34" s="2">
        <v>351</v>
      </c>
      <c r="J34" s="2">
        <v>782</v>
      </c>
      <c r="K34" s="2">
        <v>1882</v>
      </c>
      <c r="L34" s="2">
        <v>1322</v>
      </c>
      <c r="M34" s="2">
        <v>57269</v>
      </c>
      <c r="N34" s="2">
        <v>1469</v>
      </c>
      <c r="O34" s="2">
        <v>742</v>
      </c>
      <c r="P34" s="2">
        <v>568</v>
      </c>
      <c r="Q34" s="2">
        <v>445</v>
      </c>
      <c r="R34" s="2">
        <v>78</v>
      </c>
    </row>
    <row r="35" spans="2:18" s="4" customFormat="1" ht="9.75" customHeight="1">
      <c r="B35" s="6" t="s">
        <v>118</v>
      </c>
      <c r="C35" s="4">
        <f aca="true" t="shared" si="2" ref="C35:J35">C34/57928</f>
        <v>0.019196243612760667</v>
      </c>
      <c r="D35" s="4">
        <f t="shared" si="2"/>
        <v>0.4936645490954288</v>
      </c>
      <c r="E35" s="4">
        <f t="shared" si="2"/>
        <v>0.010357685402568706</v>
      </c>
      <c r="F35" s="4">
        <f t="shared" si="2"/>
        <v>0.43952838005800304</v>
      </c>
      <c r="G35" s="4">
        <f t="shared" si="2"/>
        <v>0.00823435989504212</v>
      </c>
      <c r="H35" s="4">
        <f t="shared" si="2"/>
        <v>0.009460019334346086</v>
      </c>
      <c r="I35" s="4">
        <f t="shared" si="2"/>
        <v>0.006059245960502693</v>
      </c>
      <c r="J35" s="4">
        <f t="shared" si="2"/>
        <v>0.01349951664134788</v>
      </c>
      <c r="K35" s="4">
        <f>K34/61942</f>
        <v>0.030383261761002228</v>
      </c>
      <c r="L35" s="4">
        <f>L34/61942</f>
        <v>0.021342546252946303</v>
      </c>
      <c r="M35" s="4">
        <f>M34/61942</f>
        <v>0.9245584579122405</v>
      </c>
      <c r="N35" s="4">
        <f>N34/61942</f>
        <v>0.023715734073810984</v>
      </c>
      <c r="O35" s="4">
        <f>O34/742</f>
        <v>1</v>
      </c>
      <c r="P35" s="4">
        <f>P34/568</f>
        <v>1</v>
      </c>
      <c r="Q35" s="4">
        <f>Q34/445</f>
        <v>1</v>
      </c>
      <c r="R35" s="4">
        <f>R34/78</f>
        <v>1</v>
      </c>
    </row>
    <row r="36" spans="2:18" ht="4.5" customHeight="1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9.75" customHeight="1">
      <c r="A37" s="3" t="s">
        <v>37</v>
      </c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ht="9.75" customHeight="1">
      <c r="B38" s="5" t="s">
        <v>14</v>
      </c>
      <c r="C38" s="2">
        <v>114</v>
      </c>
      <c r="D38" s="2">
        <v>1243</v>
      </c>
      <c r="E38" s="2">
        <v>80</v>
      </c>
      <c r="F38" s="2">
        <v>1799</v>
      </c>
      <c r="G38" s="2">
        <v>37</v>
      </c>
      <c r="H38" s="2">
        <v>59</v>
      </c>
      <c r="I38" s="2">
        <v>50</v>
      </c>
      <c r="J38" s="2">
        <v>97</v>
      </c>
      <c r="K38" s="2">
        <v>163</v>
      </c>
      <c r="L38" s="2">
        <v>184</v>
      </c>
      <c r="M38" s="2">
        <v>3908</v>
      </c>
      <c r="N38" s="2">
        <v>144</v>
      </c>
      <c r="O38" s="2">
        <v>70</v>
      </c>
      <c r="P38" s="2">
        <v>24</v>
      </c>
      <c r="Q38" s="2">
        <v>41</v>
      </c>
      <c r="R38" s="2">
        <v>2</v>
      </c>
    </row>
    <row r="39" spans="2:18" ht="9.75" customHeight="1">
      <c r="B39" s="5" t="s">
        <v>30</v>
      </c>
      <c r="C39" s="2">
        <v>464</v>
      </c>
      <c r="D39" s="2">
        <v>6399</v>
      </c>
      <c r="E39" s="2">
        <v>242</v>
      </c>
      <c r="F39" s="2">
        <v>6477</v>
      </c>
      <c r="G39" s="2">
        <v>111</v>
      </c>
      <c r="H39" s="2">
        <v>176</v>
      </c>
      <c r="I39" s="2">
        <v>102</v>
      </c>
      <c r="J39" s="2">
        <v>291</v>
      </c>
      <c r="K39" s="2">
        <v>601</v>
      </c>
      <c r="L39" s="2">
        <v>407</v>
      </c>
      <c r="M39" s="2">
        <v>19669</v>
      </c>
      <c r="N39" s="2">
        <v>455</v>
      </c>
      <c r="O39" s="2">
        <v>259</v>
      </c>
      <c r="P39" s="2">
        <v>299</v>
      </c>
      <c r="Q39" s="2">
        <v>149</v>
      </c>
      <c r="R39" s="2">
        <v>22</v>
      </c>
    </row>
    <row r="40" spans="2:18" ht="9.75" customHeight="1">
      <c r="B40" s="5" t="s">
        <v>31</v>
      </c>
      <c r="C40" s="2">
        <v>125</v>
      </c>
      <c r="D40" s="2">
        <v>766</v>
      </c>
      <c r="E40" s="2">
        <v>85</v>
      </c>
      <c r="F40" s="2">
        <v>941</v>
      </c>
      <c r="G40" s="2">
        <v>37</v>
      </c>
      <c r="H40" s="2">
        <v>59</v>
      </c>
      <c r="I40" s="2">
        <v>55</v>
      </c>
      <c r="J40" s="2">
        <v>80</v>
      </c>
      <c r="K40" s="2">
        <v>243</v>
      </c>
      <c r="L40" s="2">
        <v>293</v>
      </c>
      <c r="M40" s="2">
        <v>2517</v>
      </c>
      <c r="N40" s="2">
        <v>202</v>
      </c>
      <c r="O40" s="2">
        <v>101</v>
      </c>
      <c r="P40" s="2">
        <v>13</v>
      </c>
      <c r="Q40" s="2">
        <v>24</v>
      </c>
      <c r="R40" s="2">
        <v>3</v>
      </c>
    </row>
    <row r="41" spans="2:18" ht="9.75" customHeight="1">
      <c r="B41" s="5" t="s">
        <v>32</v>
      </c>
      <c r="C41" s="2">
        <v>58</v>
      </c>
      <c r="D41" s="2">
        <v>266</v>
      </c>
      <c r="E41" s="2">
        <v>25</v>
      </c>
      <c r="F41" s="2">
        <v>575</v>
      </c>
      <c r="G41" s="2">
        <v>10</v>
      </c>
      <c r="H41" s="2">
        <v>26</v>
      </c>
      <c r="I41" s="2">
        <v>30</v>
      </c>
      <c r="J41" s="2">
        <v>38</v>
      </c>
      <c r="K41" s="2">
        <v>89</v>
      </c>
      <c r="L41" s="2">
        <v>85</v>
      </c>
      <c r="M41" s="2">
        <v>1565</v>
      </c>
      <c r="N41" s="2">
        <v>134</v>
      </c>
      <c r="O41" s="2">
        <v>53</v>
      </c>
      <c r="P41" s="2">
        <v>11</v>
      </c>
      <c r="Q41" s="2">
        <v>17</v>
      </c>
      <c r="R41" s="2">
        <v>3</v>
      </c>
    </row>
    <row r="42" spans="2:18" ht="9.75" customHeight="1">
      <c r="B42" s="5" t="s">
        <v>33</v>
      </c>
      <c r="C42" s="2">
        <v>325</v>
      </c>
      <c r="D42" s="2">
        <v>5038</v>
      </c>
      <c r="E42" s="2">
        <v>146</v>
      </c>
      <c r="F42" s="2">
        <v>4701</v>
      </c>
      <c r="G42" s="2">
        <v>69</v>
      </c>
      <c r="H42" s="2">
        <v>174</v>
      </c>
      <c r="I42" s="2">
        <v>88</v>
      </c>
      <c r="J42" s="2">
        <v>159</v>
      </c>
      <c r="K42" s="2">
        <v>388</v>
      </c>
      <c r="L42" s="2">
        <v>369</v>
      </c>
      <c r="M42" s="2">
        <v>12590</v>
      </c>
      <c r="N42" s="2">
        <v>359</v>
      </c>
      <c r="O42" s="2">
        <v>217</v>
      </c>
      <c r="P42" s="2">
        <v>485</v>
      </c>
      <c r="Q42" s="2">
        <v>129</v>
      </c>
      <c r="R42" s="2">
        <v>13</v>
      </c>
    </row>
    <row r="43" spans="2:18" ht="9.75" customHeight="1">
      <c r="B43" s="5" t="s">
        <v>34</v>
      </c>
      <c r="C43" s="2">
        <v>648</v>
      </c>
      <c r="D43" s="2">
        <v>12529</v>
      </c>
      <c r="E43" s="2">
        <v>339</v>
      </c>
      <c r="F43" s="2">
        <v>11995</v>
      </c>
      <c r="G43" s="2">
        <v>175</v>
      </c>
      <c r="H43" s="2">
        <v>250</v>
      </c>
      <c r="I43" s="2">
        <v>170</v>
      </c>
      <c r="J43" s="2">
        <v>382</v>
      </c>
      <c r="K43" s="2">
        <v>1280</v>
      </c>
      <c r="L43" s="2">
        <v>840</v>
      </c>
      <c r="M43" s="2">
        <v>40314</v>
      </c>
      <c r="N43" s="2">
        <v>930</v>
      </c>
      <c r="O43" s="2">
        <v>376</v>
      </c>
      <c r="P43" s="2">
        <v>296</v>
      </c>
      <c r="Q43" s="2">
        <v>206</v>
      </c>
      <c r="R43" s="2">
        <v>29</v>
      </c>
    </row>
    <row r="44" spans="2:18" ht="9.75" customHeight="1">
      <c r="B44" s="5" t="s">
        <v>35</v>
      </c>
      <c r="C44" s="2">
        <v>85</v>
      </c>
      <c r="D44" s="2">
        <v>1062</v>
      </c>
      <c r="E44" s="2">
        <v>39</v>
      </c>
      <c r="F44" s="2">
        <v>983</v>
      </c>
      <c r="G44" s="2">
        <v>35</v>
      </c>
      <c r="H44" s="2">
        <v>48</v>
      </c>
      <c r="I44" s="2">
        <v>37</v>
      </c>
      <c r="J44" s="2">
        <v>58</v>
      </c>
      <c r="K44" s="2">
        <v>124</v>
      </c>
      <c r="L44" s="2">
        <v>88</v>
      </c>
      <c r="M44" s="2">
        <v>2895</v>
      </c>
      <c r="N44" s="2">
        <v>95</v>
      </c>
      <c r="O44" s="2">
        <v>60</v>
      </c>
      <c r="P44" s="2">
        <v>33</v>
      </c>
      <c r="Q44" s="2">
        <v>29</v>
      </c>
      <c r="R44" s="2">
        <v>6</v>
      </c>
    </row>
    <row r="45" spans="2:18" ht="9.75" customHeight="1">
      <c r="B45" s="5" t="s">
        <v>27</v>
      </c>
      <c r="C45" s="2">
        <v>40</v>
      </c>
      <c r="D45" s="2">
        <v>1058</v>
      </c>
      <c r="E45" s="2">
        <v>28</v>
      </c>
      <c r="F45" s="2">
        <v>971</v>
      </c>
      <c r="G45" s="2">
        <v>17</v>
      </c>
      <c r="H45" s="2">
        <v>32</v>
      </c>
      <c r="I45" s="2">
        <v>5</v>
      </c>
      <c r="J45" s="2">
        <v>38</v>
      </c>
      <c r="K45" s="2">
        <v>108</v>
      </c>
      <c r="L45" s="2">
        <v>72</v>
      </c>
      <c r="M45" s="2">
        <v>2924</v>
      </c>
      <c r="N45" s="2">
        <v>76</v>
      </c>
      <c r="O45" s="2">
        <v>29</v>
      </c>
      <c r="P45" s="2">
        <v>14</v>
      </c>
      <c r="Q45" s="2">
        <v>25</v>
      </c>
      <c r="R45" s="2">
        <v>2</v>
      </c>
    </row>
    <row r="46" spans="2:18" ht="9.75" customHeight="1">
      <c r="B46" s="5" t="s">
        <v>36</v>
      </c>
      <c r="C46" s="2">
        <v>19</v>
      </c>
      <c r="D46" s="2">
        <v>165</v>
      </c>
      <c r="E46" s="2">
        <v>11</v>
      </c>
      <c r="F46" s="2">
        <v>192</v>
      </c>
      <c r="G46" s="2">
        <v>9</v>
      </c>
      <c r="H46" s="2">
        <v>8</v>
      </c>
      <c r="I46" s="2">
        <v>6</v>
      </c>
      <c r="J46" s="2">
        <v>22</v>
      </c>
      <c r="K46" s="2">
        <v>33</v>
      </c>
      <c r="L46" s="2">
        <v>23</v>
      </c>
      <c r="M46" s="2">
        <v>586</v>
      </c>
      <c r="N46" s="2">
        <v>16</v>
      </c>
      <c r="O46" s="2">
        <v>22</v>
      </c>
      <c r="P46" s="2">
        <v>11</v>
      </c>
      <c r="Q46" s="2">
        <v>15</v>
      </c>
      <c r="R46" s="2">
        <v>1</v>
      </c>
    </row>
    <row r="47" spans="1:18" ht="9.75" customHeight="1">
      <c r="A47" s="3" t="s">
        <v>117</v>
      </c>
      <c r="C47" s="2">
        <v>1878</v>
      </c>
      <c r="D47" s="2">
        <v>28526</v>
      </c>
      <c r="E47" s="2">
        <v>995</v>
      </c>
      <c r="F47" s="2">
        <v>28634</v>
      </c>
      <c r="G47" s="2">
        <v>500</v>
      </c>
      <c r="H47" s="2">
        <v>832</v>
      </c>
      <c r="I47" s="2">
        <v>543</v>
      </c>
      <c r="J47" s="2">
        <v>1165</v>
      </c>
      <c r="K47" s="2">
        <v>3029</v>
      </c>
      <c r="L47" s="2">
        <v>2361</v>
      </c>
      <c r="M47" s="2">
        <v>86968</v>
      </c>
      <c r="N47" s="2">
        <v>2411</v>
      </c>
      <c r="O47" s="2">
        <v>1187</v>
      </c>
      <c r="P47" s="2">
        <v>1186</v>
      </c>
      <c r="Q47" s="2">
        <v>635</v>
      </c>
      <c r="R47" s="2">
        <v>81</v>
      </c>
    </row>
    <row r="48" spans="2:18" s="4" customFormat="1" ht="9.75" customHeight="1">
      <c r="B48" s="6" t="s">
        <v>118</v>
      </c>
      <c r="C48" s="4">
        <f aca="true" t="shared" si="3" ref="C48:J48">C47/63073</f>
        <v>0.029775022592868582</v>
      </c>
      <c r="D48" s="4">
        <f t="shared" si="3"/>
        <v>0.45226959237708686</v>
      </c>
      <c r="E48" s="4">
        <f t="shared" si="3"/>
        <v>0.01577537139505018</v>
      </c>
      <c r="F48" s="4">
        <f t="shared" si="3"/>
        <v>0.4539818939958461</v>
      </c>
      <c r="G48" s="4">
        <f t="shared" si="3"/>
        <v>0.007927322309070442</v>
      </c>
      <c r="H48" s="4">
        <f t="shared" si="3"/>
        <v>0.013191064322293215</v>
      </c>
      <c r="I48" s="4">
        <f t="shared" si="3"/>
        <v>0.0086090720276505</v>
      </c>
      <c r="J48" s="4">
        <f t="shared" si="3"/>
        <v>0.01847066098013413</v>
      </c>
      <c r="K48" s="4">
        <f>K47/94769</f>
        <v>0.031961928478721945</v>
      </c>
      <c r="L48" s="4">
        <f>L47/94769</f>
        <v>0.024913210015933482</v>
      </c>
      <c r="M48" s="4">
        <f>M47/94769</f>
        <v>0.9176840528020767</v>
      </c>
      <c r="N48" s="4">
        <f>N47/94769</f>
        <v>0.025440808703267946</v>
      </c>
      <c r="O48" s="4">
        <f>O47/1187</f>
        <v>1</v>
      </c>
      <c r="P48" s="4">
        <f>P47/1186</f>
        <v>1</v>
      </c>
      <c r="Q48" s="4">
        <f>Q47/635</f>
        <v>1</v>
      </c>
      <c r="R48" s="4">
        <f>R47/81</f>
        <v>1</v>
      </c>
    </row>
    <row r="49" spans="2:18" ht="4.5" customHeight="1"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9.75" customHeight="1">
      <c r="A50" s="3" t="s">
        <v>38</v>
      </c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9.75" customHeight="1">
      <c r="B51" s="5" t="s">
        <v>27</v>
      </c>
      <c r="C51" s="2">
        <v>979</v>
      </c>
      <c r="D51" s="2">
        <v>31929</v>
      </c>
      <c r="E51" s="2">
        <v>380</v>
      </c>
      <c r="F51" s="2">
        <v>22956</v>
      </c>
      <c r="G51" s="2">
        <v>332</v>
      </c>
      <c r="H51" s="2">
        <v>364</v>
      </c>
      <c r="I51" s="2">
        <v>317</v>
      </c>
      <c r="J51" s="2">
        <v>495</v>
      </c>
      <c r="K51" s="2">
        <v>1036</v>
      </c>
      <c r="L51" s="2">
        <v>592</v>
      </c>
      <c r="M51" s="2">
        <v>22958</v>
      </c>
      <c r="N51" s="2">
        <v>819</v>
      </c>
      <c r="O51" s="2">
        <v>504</v>
      </c>
      <c r="P51" s="2">
        <v>780</v>
      </c>
      <c r="Q51" s="2">
        <v>253</v>
      </c>
      <c r="R51" s="2">
        <v>171</v>
      </c>
    </row>
    <row r="52" spans="1:18" ht="9.75" customHeight="1">
      <c r="A52" s="3" t="s">
        <v>117</v>
      </c>
      <c r="C52" s="2">
        <v>979</v>
      </c>
      <c r="D52" s="2">
        <v>31929</v>
      </c>
      <c r="E52" s="2">
        <v>380</v>
      </c>
      <c r="F52" s="2">
        <v>22956</v>
      </c>
      <c r="G52" s="2">
        <v>332</v>
      </c>
      <c r="H52" s="2">
        <v>364</v>
      </c>
      <c r="I52" s="2">
        <v>317</v>
      </c>
      <c r="J52" s="2">
        <v>495</v>
      </c>
      <c r="K52" s="2">
        <v>1036</v>
      </c>
      <c r="L52" s="2">
        <v>592</v>
      </c>
      <c r="M52" s="2">
        <v>22958</v>
      </c>
      <c r="N52" s="2">
        <v>819</v>
      </c>
      <c r="O52" s="2">
        <v>504</v>
      </c>
      <c r="P52" s="2">
        <v>780</v>
      </c>
      <c r="Q52" s="2">
        <v>253</v>
      </c>
      <c r="R52" s="2">
        <v>171</v>
      </c>
    </row>
    <row r="53" spans="2:18" s="4" customFormat="1" ht="9.75" customHeight="1">
      <c r="B53" s="6" t="s">
        <v>118</v>
      </c>
      <c r="C53" s="4">
        <f aca="true" t="shared" si="4" ref="C53:J53">C52/57752</f>
        <v>0.01695179387726832</v>
      </c>
      <c r="D53" s="4">
        <f t="shared" si="4"/>
        <v>0.5528639700789583</v>
      </c>
      <c r="E53" s="4">
        <f t="shared" si="4"/>
        <v>0.006579858706191993</v>
      </c>
      <c r="F53" s="4">
        <f t="shared" si="4"/>
        <v>0.3974927275245879</v>
      </c>
      <c r="G53" s="4">
        <f t="shared" si="4"/>
        <v>0.005748718659094057</v>
      </c>
      <c r="H53" s="4">
        <f t="shared" si="4"/>
        <v>0.006302812023826015</v>
      </c>
      <c r="I53" s="4">
        <f t="shared" si="4"/>
        <v>0.005488987394375953</v>
      </c>
      <c r="J53" s="4">
        <f t="shared" si="4"/>
        <v>0.008571131735697466</v>
      </c>
      <c r="K53" s="4">
        <f>K52/25405</f>
        <v>0.040779374138949026</v>
      </c>
      <c r="L53" s="4">
        <f>L52/25405</f>
        <v>0.02330249950797087</v>
      </c>
      <c r="M53" s="4">
        <f>M52/25405</f>
        <v>0.9036803778783704</v>
      </c>
      <c r="N53" s="4">
        <f>N52/25405</f>
        <v>0.032237748474709706</v>
      </c>
      <c r="O53" s="4">
        <f>O52/504</f>
        <v>1</v>
      </c>
      <c r="P53" s="4">
        <f>P52/780</f>
        <v>1</v>
      </c>
      <c r="Q53" s="4">
        <f>Q52/253</f>
        <v>1</v>
      </c>
      <c r="R53" s="4">
        <f>R52/171</f>
        <v>1</v>
      </c>
    </row>
    <row r="54" spans="2:18" ht="4.5" customHeight="1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.75" customHeight="1">
      <c r="A55" s="3" t="s">
        <v>40</v>
      </c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ht="9.75" customHeight="1">
      <c r="B56" s="5" t="s">
        <v>39</v>
      </c>
      <c r="C56" s="2">
        <v>697</v>
      </c>
      <c r="D56" s="2">
        <v>22409</v>
      </c>
      <c r="E56" s="2">
        <v>225</v>
      </c>
      <c r="F56" s="2">
        <v>19375</v>
      </c>
      <c r="G56" s="2">
        <v>218</v>
      </c>
      <c r="H56" s="2">
        <v>502</v>
      </c>
      <c r="I56" s="2">
        <v>156</v>
      </c>
      <c r="J56" s="2">
        <v>577</v>
      </c>
      <c r="K56" s="2">
        <v>560</v>
      </c>
      <c r="L56" s="2">
        <v>343</v>
      </c>
      <c r="M56" s="2">
        <v>14944</v>
      </c>
      <c r="N56" s="2">
        <v>435</v>
      </c>
      <c r="O56" s="2">
        <v>304</v>
      </c>
      <c r="P56" s="2">
        <v>889</v>
      </c>
      <c r="Q56" s="2">
        <v>216</v>
      </c>
      <c r="R56" s="2">
        <v>40</v>
      </c>
    </row>
    <row r="57" spans="2:18" ht="9.75" customHeight="1">
      <c r="B57" s="5" t="s">
        <v>11</v>
      </c>
      <c r="C57" s="2">
        <v>1515</v>
      </c>
      <c r="D57" s="2">
        <v>29605</v>
      </c>
      <c r="E57" s="2">
        <v>549</v>
      </c>
      <c r="F57" s="2">
        <v>26466</v>
      </c>
      <c r="G57" s="2">
        <v>581</v>
      </c>
      <c r="H57" s="2">
        <v>1096</v>
      </c>
      <c r="I57" s="2">
        <v>344</v>
      </c>
      <c r="J57" s="2">
        <v>1206</v>
      </c>
      <c r="K57" s="2">
        <v>1261</v>
      </c>
      <c r="L57" s="2">
        <v>1279</v>
      </c>
      <c r="M57" s="2">
        <v>23863</v>
      </c>
      <c r="N57" s="2">
        <v>1279</v>
      </c>
      <c r="O57" s="2">
        <v>978</v>
      </c>
      <c r="P57" s="2">
        <v>1791</v>
      </c>
      <c r="Q57" s="2">
        <v>430</v>
      </c>
      <c r="R57" s="2">
        <v>146</v>
      </c>
    </row>
    <row r="58" spans="1:18" ht="9.75" customHeight="1">
      <c r="A58" s="3" t="s">
        <v>117</v>
      </c>
      <c r="C58" s="2">
        <v>2212</v>
      </c>
      <c r="D58" s="2">
        <v>52014</v>
      </c>
      <c r="E58" s="2">
        <v>774</v>
      </c>
      <c r="F58" s="2">
        <v>45841</v>
      </c>
      <c r="G58" s="2">
        <v>799</v>
      </c>
      <c r="H58" s="2">
        <v>1598</v>
      </c>
      <c r="I58" s="2">
        <v>500</v>
      </c>
      <c r="J58" s="2">
        <v>1783</v>
      </c>
      <c r="K58" s="2">
        <v>1821</v>
      </c>
      <c r="L58" s="2">
        <v>1622</v>
      </c>
      <c r="M58" s="2">
        <v>38807</v>
      </c>
      <c r="N58" s="2">
        <v>1714</v>
      </c>
      <c r="O58" s="2">
        <v>1282</v>
      </c>
      <c r="P58" s="2">
        <v>2680</v>
      </c>
      <c r="Q58" s="2">
        <v>646</v>
      </c>
      <c r="R58" s="2">
        <v>186</v>
      </c>
    </row>
    <row r="59" spans="2:18" s="4" customFormat="1" ht="9.75" customHeight="1">
      <c r="B59" s="6" t="s">
        <v>118</v>
      </c>
      <c r="C59" s="4">
        <f aca="true" t="shared" si="5" ref="C59:J59">C58/105521</f>
        <v>0.020962651983965276</v>
      </c>
      <c r="D59" s="4">
        <f t="shared" si="5"/>
        <v>0.4929255787947423</v>
      </c>
      <c r="E59" s="4">
        <f t="shared" si="5"/>
        <v>0.007335032837065608</v>
      </c>
      <c r="F59" s="4">
        <f t="shared" si="5"/>
        <v>0.43442537504383016</v>
      </c>
      <c r="G59" s="4">
        <f t="shared" si="5"/>
        <v>0.0075719525023455045</v>
      </c>
      <c r="H59" s="4">
        <f t="shared" si="5"/>
        <v>0.015143905004691009</v>
      </c>
      <c r="I59" s="4">
        <f t="shared" si="5"/>
        <v>0.004738393305597938</v>
      </c>
      <c r="J59" s="4">
        <f t="shared" si="5"/>
        <v>0.016897110527762247</v>
      </c>
      <c r="K59" s="4">
        <f>K58/43964</f>
        <v>0.04142025293421891</v>
      </c>
      <c r="L59" s="4">
        <f>L58/43964</f>
        <v>0.03689382221817851</v>
      </c>
      <c r="M59" s="4">
        <f>M58/43964</f>
        <v>0.8826994813938677</v>
      </c>
      <c r="N59" s="4">
        <f>N58/43964</f>
        <v>0.03898644345373487</v>
      </c>
      <c r="O59" s="4">
        <f>O58/1282</f>
        <v>1</v>
      </c>
      <c r="P59" s="4">
        <f>P58/2680</f>
        <v>1</v>
      </c>
      <c r="Q59" s="4">
        <f>Q58/646</f>
        <v>1</v>
      </c>
      <c r="R59" s="4">
        <f>R58/186</f>
        <v>1</v>
      </c>
    </row>
    <row r="60" spans="2:18" ht="4.5" customHeight="1"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9.75" customHeight="1">
      <c r="A61" s="3" t="s">
        <v>42</v>
      </c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ht="9.75" customHeight="1">
      <c r="B62" s="5" t="s">
        <v>41</v>
      </c>
      <c r="C62" s="2">
        <v>1157</v>
      </c>
      <c r="D62" s="2">
        <v>21390</v>
      </c>
      <c r="E62" s="2">
        <v>304</v>
      </c>
      <c r="F62" s="2">
        <v>15027</v>
      </c>
      <c r="G62" s="2">
        <v>443</v>
      </c>
      <c r="H62" s="2">
        <v>507</v>
      </c>
      <c r="I62" s="2">
        <v>275</v>
      </c>
      <c r="J62" s="2">
        <v>503</v>
      </c>
      <c r="K62" s="2">
        <v>517</v>
      </c>
      <c r="L62" s="2">
        <v>506</v>
      </c>
      <c r="M62" s="2">
        <v>10280</v>
      </c>
      <c r="N62" s="2">
        <v>523</v>
      </c>
      <c r="O62" s="2">
        <v>344</v>
      </c>
      <c r="P62" s="2">
        <v>487</v>
      </c>
      <c r="Q62" s="2">
        <v>214</v>
      </c>
      <c r="R62" s="2">
        <v>64</v>
      </c>
    </row>
    <row r="63" spans="2:18" ht="9.75" customHeight="1">
      <c r="B63" s="5" t="s">
        <v>28</v>
      </c>
      <c r="C63" s="2">
        <v>503</v>
      </c>
      <c r="D63" s="2">
        <v>11068</v>
      </c>
      <c r="E63" s="2">
        <v>204</v>
      </c>
      <c r="F63" s="2">
        <v>9752</v>
      </c>
      <c r="G63" s="2">
        <v>257</v>
      </c>
      <c r="H63" s="2">
        <v>213</v>
      </c>
      <c r="I63" s="2">
        <v>105</v>
      </c>
      <c r="J63" s="2">
        <v>312</v>
      </c>
      <c r="K63" s="2">
        <v>450</v>
      </c>
      <c r="L63" s="2">
        <v>422</v>
      </c>
      <c r="M63" s="2">
        <v>10064</v>
      </c>
      <c r="N63" s="2">
        <v>392</v>
      </c>
      <c r="O63" s="2">
        <v>217</v>
      </c>
      <c r="P63" s="2">
        <v>188</v>
      </c>
      <c r="Q63" s="2">
        <v>120</v>
      </c>
      <c r="R63" s="2">
        <v>13</v>
      </c>
    </row>
    <row r="64" spans="1:18" ht="9.75" customHeight="1">
      <c r="A64" s="3" t="s">
        <v>117</v>
      </c>
      <c r="C64" s="2">
        <v>1660</v>
      </c>
      <c r="D64" s="2">
        <v>32458</v>
      </c>
      <c r="E64" s="2">
        <v>508</v>
      </c>
      <c r="F64" s="2">
        <v>24779</v>
      </c>
      <c r="G64" s="2">
        <v>700</v>
      </c>
      <c r="H64" s="2">
        <v>720</v>
      </c>
      <c r="I64" s="2">
        <v>380</v>
      </c>
      <c r="J64" s="2">
        <v>815</v>
      </c>
      <c r="K64" s="2">
        <v>967</v>
      </c>
      <c r="L64" s="2">
        <v>928</v>
      </c>
      <c r="M64" s="2">
        <v>20344</v>
      </c>
      <c r="N64" s="2">
        <v>915</v>
      </c>
      <c r="O64" s="2">
        <v>561</v>
      </c>
      <c r="P64" s="2">
        <v>675</v>
      </c>
      <c r="Q64" s="2">
        <v>334</v>
      </c>
      <c r="R64" s="2">
        <v>77</v>
      </c>
    </row>
    <row r="65" spans="2:18" s="4" customFormat="1" ht="9.75" customHeight="1">
      <c r="B65" s="6" t="s">
        <v>118</v>
      </c>
      <c r="C65" s="4">
        <f aca="true" t="shared" si="6" ref="C65:J65">C64/62020</f>
        <v>0.026765559496936472</v>
      </c>
      <c r="D65" s="4">
        <f t="shared" si="6"/>
        <v>0.5233473073202193</v>
      </c>
      <c r="E65" s="4">
        <f t="shared" si="6"/>
        <v>0.00819090615930345</v>
      </c>
      <c r="F65" s="4">
        <f t="shared" si="6"/>
        <v>0.39953240890035474</v>
      </c>
      <c r="G65" s="4">
        <f t="shared" si="6"/>
        <v>0.011286681715575621</v>
      </c>
      <c r="H65" s="4">
        <f t="shared" si="6"/>
        <v>0.011609158336020638</v>
      </c>
      <c r="I65" s="4">
        <f t="shared" si="6"/>
        <v>0.006127055788455337</v>
      </c>
      <c r="J65" s="4">
        <f t="shared" si="6"/>
        <v>0.013140922283134474</v>
      </c>
      <c r="K65" s="4">
        <f>K64/23154</f>
        <v>0.04176384210071694</v>
      </c>
      <c r="L65" s="4">
        <f>L64/23154</f>
        <v>0.04007946791051222</v>
      </c>
      <c r="M65" s="4">
        <f>M64/23154</f>
        <v>0.8786386801416601</v>
      </c>
      <c r="N65" s="4">
        <f>N64/23154</f>
        <v>0.03951800984711065</v>
      </c>
      <c r="O65" s="4">
        <f>O64/561</f>
        <v>1</v>
      </c>
      <c r="P65" s="4">
        <f>P64/675</f>
        <v>1</v>
      </c>
      <c r="Q65" s="4">
        <f>Q64/334</f>
        <v>1</v>
      </c>
      <c r="R65" s="4">
        <f>R64/77</f>
        <v>1</v>
      </c>
    </row>
    <row r="66" spans="2:18" ht="4.5" customHeight="1"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9.75" customHeight="1">
      <c r="A67" s="3" t="s">
        <v>44</v>
      </c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9.75" customHeight="1">
      <c r="B68" s="5" t="s">
        <v>43</v>
      </c>
      <c r="C68" s="2">
        <v>2073</v>
      </c>
      <c r="D68" s="2">
        <v>44557</v>
      </c>
      <c r="E68" s="2">
        <v>348</v>
      </c>
      <c r="F68" s="2">
        <v>35082</v>
      </c>
      <c r="G68" s="2">
        <v>474</v>
      </c>
      <c r="H68" s="2">
        <v>1014</v>
      </c>
      <c r="I68" s="2">
        <v>282</v>
      </c>
      <c r="J68" s="2">
        <v>976</v>
      </c>
      <c r="K68" s="2">
        <v>601</v>
      </c>
      <c r="L68" s="2">
        <v>410</v>
      </c>
      <c r="M68" s="2">
        <v>10597</v>
      </c>
      <c r="N68" s="2">
        <v>564</v>
      </c>
      <c r="O68" s="2">
        <v>597</v>
      </c>
      <c r="P68" s="2">
        <v>2855</v>
      </c>
      <c r="Q68" s="2">
        <v>382</v>
      </c>
      <c r="R68" s="2">
        <v>202</v>
      </c>
    </row>
    <row r="69" spans="1:18" ht="9.75" customHeight="1">
      <c r="A69" s="3" t="s">
        <v>117</v>
      </c>
      <c r="C69" s="2">
        <v>2073</v>
      </c>
      <c r="D69" s="2">
        <v>44557</v>
      </c>
      <c r="E69" s="2">
        <v>348</v>
      </c>
      <c r="F69" s="2">
        <v>35082</v>
      </c>
      <c r="G69" s="2">
        <v>474</v>
      </c>
      <c r="H69" s="2">
        <v>1014</v>
      </c>
      <c r="I69" s="2">
        <v>282</v>
      </c>
      <c r="J69" s="2">
        <v>976</v>
      </c>
      <c r="K69" s="2">
        <v>601</v>
      </c>
      <c r="L69" s="2">
        <v>410</v>
      </c>
      <c r="M69" s="2">
        <v>10597</v>
      </c>
      <c r="N69" s="2">
        <v>564</v>
      </c>
      <c r="O69" s="2">
        <v>597</v>
      </c>
      <c r="P69" s="2">
        <v>2855</v>
      </c>
      <c r="Q69" s="2">
        <v>382</v>
      </c>
      <c r="R69" s="2">
        <v>202</v>
      </c>
    </row>
    <row r="70" spans="2:18" s="4" customFormat="1" ht="9.75" customHeight="1">
      <c r="B70" s="6" t="s">
        <v>118</v>
      </c>
      <c r="C70" s="4">
        <f aca="true" t="shared" si="7" ref="C70:J70">C69/84806</f>
        <v>0.024444025186897155</v>
      </c>
      <c r="D70" s="4">
        <f t="shared" si="7"/>
        <v>0.5253991462868193</v>
      </c>
      <c r="E70" s="4">
        <f t="shared" si="7"/>
        <v>0.004103483244110087</v>
      </c>
      <c r="F70" s="4">
        <f t="shared" si="7"/>
        <v>0.4136735608329599</v>
      </c>
      <c r="G70" s="4">
        <f t="shared" si="7"/>
        <v>0.0055892271773223595</v>
      </c>
      <c r="H70" s="4">
        <f t="shared" si="7"/>
        <v>0.011956701176803529</v>
      </c>
      <c r="I70" s="4">
        <f t="shared" si="7"/>
        <v>0.003325236421951277</v>
      </c>
      <c r="J70" s="4">
        <f t="shared" si="7"/>
        <v>0.011508619673136334</v>
      </c>
      <c r="K70" s="4">
        <f>K69/12172</f>
        <v>0.04937561616825501</v>
      </c>
      <c r="L70" s="4">
        <f>L69/12172</f>
        <v>0.03368386460729543</v>
      </c>
      <c r="M70" s="4">
        <f>M69/12172</f>
        <v>0.8706046664475846</v>
      </c>
      <c r="N70" s="4">
        <f>N69/12172</f>
        <v>0.04633585277686494</v>
      </c>
      <c r="O70" s="4">
        <f>O69/597</f>
        <v>1</v>
      </c>
      <c r="P70" s="4">
        <f>P69/2855</f>
        <v>1</v>
      </c>
      <c r="Q70" s="4">
        <f>Q69/382</f>
        <v>1</v>
      </c>
      <c r="R70" s="4">
        <f>R69/202</f>
        <v>1</v>
      </c>
    </row>
    <row r="71" spans="2:18" ht="4.5" customHeight="1"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9.75" customHeight="1">
      <c r="A72" s="3" t="s">
        <v>46</v>
      </c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9.75" customHeight="1">
      <c r="B73" s="5" t="s">
        <v>45</v>
      </c>
      <c r="C73" s="2">
        <v>2601</v>
      </c>
      <c r="D73" s="2">
        <v>63088</v>
      </c>
      <c r="E73" s="2">
        <v>369</v>
      </c>
      <c r="F73" s="2">
        <v>34615</v>
      </c>
      <c r="G73" s="2">
        <v>764</v>
      </c>
      <c r="H73" s="2">
        <v>1064</v>
      </c>
      <c r="I73" s="2">
        <v>410</v>
      </c>
      <c r="J73" s="2">
        <v>999</v>
      </c>
      <c r="K73" s="2">
        <v>602</v>
      </c>
      <c r="L73" s="2">
        <v>445</v>
      </c>
      <c r="M73" s="2">
        <v>11591</v>
      </c>
      <c r="N73" s="2">
        <v>545</v>
      </c>
      <c r="O73" s="2">
        <v>347</v>
      </c>
      <c r="P73" s="2">
        <v>3441</v>
      </c>
      <c r="Q73" s="2">
        <v>302</v>
      </c>
      <c r="R73" s="2">
        <v>280</v>
      </c>
    </row>
    <row r="74" spans="1:18" ht="9.75" customHeight="1">
      <c r="A74" s="3" t="s">
        <v>117</v>
      </c>
      <c r="C74" s="2">
        <v>2601</v>
      </c>
      <c r="D74" s="2">
        <v>63088</v>
      </c>
      <c r="E74" s="2">
        <v>369</v>
      </c>
      <c r="F74" s="2">
        <v>34615</v>
      </c>
      <c r="G74" s="2">
        <v>764</v>
      </c>
      <c r="H74" s="2">
        <v>1064</v>
      </c>
      <c r="I74" s="2">
        <v>410</v>
      </c>
      <c r="J74" s="2">
        <v>999</v>
      </c>
      <c r="K74" s="2">
        <v>602</v>
      </c>
      <c r="L74" s="2">
        <v>445</v>
      </c>
      <c r="M74" s="2">
        <v>11591</v>
      </c>
      <c r="N74" s="2">
        <v>545</v>
      </c>
      <c r="O74" s="2">
        <v>347</v>
      </c>
      <c r="P74" s="2">
        <v>3441</v>
      </c>
      <c r="Q74" s="2">
        <v>302</v>
      </c>
      <c r="R74" s="2">
        <v>280</v>
      </c>
    </row>
    <row r="75" spans="2:18" s="4" customFormat="1" ht="9.75" customHeight="1">
      <c r="B75" s="6" t="s">
        <v>118</v>
      </c>
      <c r="C75" s="4">
        <f aca="true" t="shared" si="8" ref="C75:J75">C74/103910</f>
        <v>0.02503127706669233</v>
      </c>
      <c r="D75" s="4">
        <f t="shared" si="8"/>
        <v>0.6071407949186797</v>
      </c>
      <c r="E75" s="4">
        <f t="shared" si="8"/>
        <v>0.003551150033682995</v>
      </c>
      <c r="F75" s="4">
        <f t="shared" si="8"/>
        <v>0.3331248195553845</v>
      </c>
      <c r="G75" s="4">
        <f t="shared" si="8"/>
        <v>0.007352516600904629</v>
      </c>
      <c r="H75" s="4">
        <f t="shared" si="8"/>
        <v>0.010239630449427389</v>
      </c>
      <c r="I75" s="4">
        <f t="shared" si="8"/>
        <v>0.0039457222596477725</v>
      </c>
      <c r="J75" s="4">
        <f t="shared" si="8"/>
        <v>0.00961408911558079</v>
      </c>
      <c r="K75" s="4">
        <f>K74/13183</f>
        <v>0.04566487142532049</v>
      </c>
      <c r="L75" s="4">
        <f>L74/13183</f>
        <v>0.03375559432602594</v>
      </c>
      <c r="M75" s="4">
        <f>M74/13183</f>
        <v>0.8792384131077904</v>
      </c>
      <c r="N75" s="4">
        <f>N74/13183</f>
        <v>0.04134112114086323</v>
      </c>
      <c r="O75" s="4">
        <f>O74/347</f>
        <v>1</v>
      </c>
      <c r="P75" s="4">
        <f>P74/3441</f>
        <v>1</v>
      </c>
      <c r="Q75" s="4">
        <f>Q74/302</f>
        <v>1</v>
      </c>
      <c r="R75" s="4">
        <f>R74/280</f>
        <v>1</v>
      </c>
    </row>
    <row r="76" spans="2:18" ht="4.5" customHeight="1"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9.75" customHeight="1">
      <c r="A77" s="3" t="s">
        <v>47</v>
      </c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9.75" customHeight="1">
      <c r="B78" s="5" t="s">
        <v>45</v>
      </c>
      <c r="C78" s="2">
        <v>140</v>
      </c>
      <c r="D78" s="2">
        <v>3220</v>
      </c>
      <c r="E78" s="2">
        <v>64</v>
      </c>
      <c r="F78" s="2">
        <v>2769</v>
      </c>
      <c r="G78" s="2">
        <v>55</v>
      </c>
      <c r="H78" s="2">
        <v>85</v>
      </c>
      <c r="I78" s="2">
        <v>47</v>
      </c>
      <c r="J78" s="2">
        <v>120</v>
      </c>
      <c r="K78" s="2">
        <v>193</v>
      </c>
      <c r="L78" s="2">
        <v>193</v>
      </c>
      <c r="M78" s="2">
        <v>4978</v>
      </c>
      <c r="N78" s="2">
        <v>184</v>
      </c>
      <c r="O78" s="2">
        <v>66</v>
      </c>
      <c r="P78" s="2">
        <v>48</v>
      </c>
      <c r="Q78" s="2">
        <v>58</v>
      </c>
      <c r="R78" s="2">
        <v>4</v>
      </c>
    </row>
    <row r="79" spans="2:18" ht="9.75" customHeight="1">
      <c r="B79" s="5" t="s">
        <v>41</v>
      </c>
      <c r="C79" s="2">
        <v>836</v>
      </c>
      <c r="D79" s="2">
        <v>25280</v>
      </c>
      <c r="E79" s="2">
        <v>381</v>
      </c>
      <c r="F79" s="2">
        <v>20336</v>
      </c>
      <c r="G79" s="2">
        <v>452</v>
      </c>
      <c r="H79" s="2">
        <v>519</v>
      </c>
      <c r="I79" s="2">
        <v>234</v>
      </c>
      <c r="J79" s="2">
        <v>524</v>
      </c>
      <c r="K79" s="2">
        <v>869</v>
      </c>
      <c r="L79" s="2">
        <v>753</v>
      </c>
      <c r="M79" s="2">
        <v>28347</v>
      </c>
      <c r="N79" s="2">
        <v>885</v>
      </c>
      <c r="O79" s="2">
        <v>408</v>
      </c>
      <c r="P79" s="2">
        <v>551</v>
      </c>
      <c r="Q79" s="2">
        <v>290</v>
      </c>
      <c r="R79" s="2">
        <v>47</v>
      </c>
    </row>
    <row r="80" spans="2:18" ht="9.75" customHeight="1">
      <c r="B80" s="5" t="s">
        <v>27</v>
      </c>
      <c r="C80" s="2">
        <v>4</v>
      </c>
      <c r="D80" s="2">
        <v>110</v>
      </c>
      <c r="E80" s="2">
        <v>1</v>
      </c>
      <c r="F80" s="2">
        <v>109</v>
      </c>
      <c r="G80" s="2">
        <v>2</v>
      </c>
      <c r="H80" s="2">
        <v>5</v>
      </c>
      <c r="I80" s="2">
        <v>4</v>
      </c>
      <c r="J80" s="2">
        <v>5</v>
      </c>
      <c r="K80" s="2">
        <v>4</v>
      </c>
      <c r="L80" s="2">
        <v>5</v>
      </c>
      <c r="M80" s="2">
        <v>189</v>
      </c>
      <c r="N80" s="2">
        <v>4</v>
      </c>
      <c r="O80" s="2">
        <v>4</v>
      </c>
      <c r="P80" s="2">
        <v>2</v>
      </c>
      <c r="Q80" s="2">
        <v>2</v>
      </c>
      <c r="R80" s="2">
        <v>0</v>
      </c>
    </row>
    <row r="81" spans="2:18" ht="9.75" customHeight="1">
      <c r="B81" s="5" t="s">
        <v>28</v>
      </c>
      <c r="C81" s="2">
        <v>335</v>
      </c>
      <c r="D81" s="2">
        <v>5440</v>
      </c>
      <c r="E81" s="2">
        <v>117</v>
      </c>
      <c r="F81" s="2">
        <v>4795</v>
      </c>
      <c r="G81" s="2">
        <v>188</v>
      </c>
      <c r="H81" s="2">
        <v>149</v>
      </c>
      <c r="I81" s="2">
        <v>70</v>
      </c>
      <c r="J81" s="2">
        <v>157</v>
      </c>
      <c r="K81" s="2">
        <v>278</v>
      </c>
      <c r="L81" s="2">
        <v>232</v>
      </c>
      <c r="M81" s="2">
        <v>6484</v>
      </c>
      <c r="N81" s="2">
        <v>278</v>
      </c>
      <c r="O81" s="2">
        <v>148</v>
      </c>
      <c r="P81" s="2">
        <v>48</v>
      </c>
      <c r="Q81" s="2">
        <v>61</v>
      </c>
      <c r="R81" s="2">
        <v>8</v>
      </c>
    </row>
    <row r="82" spans="1:18" ht="9.75" customHeight="1">
      <c r="A82" s="3" t="s">
        <v>117</v>
      </c>
      <c r="C82" s="2">
        <v>1315</v>
      </c>
      <c r="D82" s="2">
        <v>34050</v>
      </c>
      <c r="E82" s="2">
        <v>563</v>
      </c>
      <c r="F82" s="2">
        <v>28009</v>
      </c>
      <c r="G82" s="2">
        <v>697</v>
      </c>
      <c r="H82" s="2">
        <v>758</v>
      </c>
      <c r="I82" s="2">
        <v>355</v>
      </c>
      <c r="J82" s="2">
        <v>806</v>
      </c>
      <c r="K82" s="2">
        <v>1344</v>
      </c>
      <c r="L82" s="2">
        <v>1183</v>
      </c>
      <c r="M82" s="2">
        <v>39998</v>
      </c>
      <c r="N82" s="2">
        <v>1351</v>
      </c>
      <c r="O82" s="2">
        <v>626</v>
      </c>
      <c r="P82" s="2">
        <v>649</v>
      </c>
      <c r="Q82" s="2">
        <v>411</v>
      </c>
      <c r="R82" s="2">
        <v>59</v>
      </c>
    </row>
    <row r="83" spans="2:18" s="4" customFormat="1" ht="9.75" customHeight="1">
      <c r="B83" s="6" t="s">
        <v>118</v>
      </c>
      <c r="C83" s="4">
        <f aca="true" t="shared" si="9" ref="C83:J83">C82/66553</f>
        <v>0.019758688564001623</v>
      </c>
      <c r="D83" s="4">
        <f t="shared" si="9"/>
        <v>0.5116223160488633</v>
      </c>
      <c r="E83" s="4">
        <f t="shared" si="9"/>
        <v>0.008459423316755067</v>
      </c>
      <c r="F83" s="4">
        <f t="shared" si="9"/>
        <v>0.4208525536038946</v>
      </c>
      <c r="G83" s="4">
        <f t="shared" si="9"/>
        <v>0.010472856219854852</v>
      </c>
      <c r="H83" s="4">
        <f t="shared" si="9"/>
        <v>0.01138941895932565</v>
      </c>
      <c r="I83" s="4">
        <f t="shared" si="9"/>
        <v>0.005334094631346446</v>
      </c>
      <c r="J83" s="4">
        <f t="shared" si="9"/>
        <v>0.012110648655958409</v>
      </c>
      <c r="K83" s="4">
        <f>K82/43876</f>
        <v>0.03063178047223995</v>
      </c>
      <c r="L83" s="4">
        <f>L82/43876</f>
        <v>0.026962348436502873</v>
      </c>
      <c r="M83" s="4">
        <f>M82/43876</f>
        <v>0.9116145500957243</v>
      </c>
      <c r="N83" s="4">
        <f>N82/43876</f>
        <v>0.030791320995532865</v>
      </c>
      <c r="O83" s="4">
        <f>O82/626</f>
        <v>1</v>
      </c>
      <c r="P83" s="4">
        <f>P82/649</f>
        <v>1</v>
      </c>
      <c r="Q83" s="4">
        <f>Q82/411</f>
        <v>1</v>
      </c>
      <c r="R83" s="4">
        <f>R82/59</f>
        <v>1</v>
      </c>
    </row>
    <row r="84" spans="2:18" ht="4.5" customHeight="1"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9.75" customHeight="1">
      <c r="A85" s="3" t="s">
        <v>50</v>
      </c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9.75" customHeight="1">
      <c r="B86" s="5" t="s">
        <v>45</v>
      </c>
      <c r="C86" s="2">
        <v>147</v>
      </c>
      <c r="D86" s="2">
        <v>4084</v>
      </c>
      <c r="E86" s="2">
        <v>98</v>
      </c>
      <c r="F86" s="2">
        <v>3413</v>
      </c>
      <c r="G86" s="2">
        <v>56</v>
      </c>
      <c r="H86" s="2">
        <v>94</v>
      </c>
      <c r="I86" s="2">
        <v>65</v>
      </c>
      <c r="J86" s="2">
        <v>89</v>
      </c>
      <c r="K86" s="2">
        <v>213</v>
      </c>
      <c r="L86" s="2">
        <v>159</v>
      </c>
      <c r="M86" s="2">
        <v>6335</v>
      </c>
      <c r="N86" s="2">
        <v>191</v>
      </c>
      <c r="O86" s="2">
        <v>64</v>
      </c>
      <c r="P86" s="2">
        <v>51</v>
      </c>
      <c r="Q86" s="2">
        <v>56</v>
      </c>
      <c r="R86" s="2">
        <v>4</v>
      </c>
    </row>
    <row r="87" spans="2:18" ht="9.75" customHeight="1">
      <c r="B87" s="5" t="s">
        <v>41</v>
      </c>
      <c r="C87" s="2">
        <v>210</v>
      </c>
      <c r="D87" s="2">
        <v>5703</v>
      </c>
      <c r="E87" s="2">
        <v>99</v>
      </c>
      <c r="F87" s="2">
        <v>5327</v>
      </c>
      <c r="G87" s="2">
        <v>118</v>
      </c>
      <c r="H87" s="2">
        <v>113</v>
      </c>
      <c r="I87" s="2">
        <v>57</v>
      </c>
      <c r="J87" s="2">
        <v>132</v>
      </c>
      <c r="K87" s="2">
        <v>309</v>
      </c>
      <c r="L87" s="2">
        <v>368</v>
      </c>
      <c r="M87" s="2">
        <v>12855</v>
      </c>
      <c r="N87" s="2">
        <v>357</v>
      </c>
      <c r="O87" s="2">
        <v>130</v>
      </c>
      <c r="P87" s="2">
        <v>61</v>
      </c>
      <c r="Q87" s="2">
        <v>87</v>
      </c>
      <c r="R87" s="2">
        <v>4</v>
      </c>
    </row>
    <row r="88" spans="2:18" ht="9.75" customHeight="1">
      <c r="B88" s="5" t="s">
        <v>48</v>
      </c>
      <c r="C88" s="2">
        <v>674</v>
      </c>
      <c r="D88" s="2">
        <v>12610</v>
      </c>
      <c r="E88" s="2">
        <v>313</v>
      </c>
      <c r="F88" s="2">
        <v>11356</v>
      </c>
      <c r="G88" s="2">
        <v>305</v>
      </c>
      <c r="H88" s="2">
        <v>355</v>
      </c>
      <c r="I88" s="2">
        <v>368</v>
      </c>
      <c r="J88" s="2">
        <v>453</v>
      </c>
      <c r="K88" s="2">
        <v>1097</v>
      </c>
      <c r="L88" s="2">
        <v>824</v>
      </c>
      <c r="M88" s="2">
        <v>29362</v>
      </c>
      <c r="N88" s="2">
        <v>1456</v>
      </c>
      <c r="O88" s="2">
        <v>408</v>
      </c>
      <c r="P88" s="2">
        <v>138</v>
      </c>
      <c r="Q88" s="2">
        <v>152</v>
      </c>
      <c r="R88" s="2">
        <v>15</v>
      </c>
    </row>
    <row r="89" spans="2:18" ht="9.75" customHeight="1">
      <c r="B89" s="5" t="s">
        <v>49</v>
      </c>
      <c r="C89" s="2">
        <v>92</v>
      </c>
      <c r="D89" s="2">
        <v>1548</v>
      </c>
      <c r="E89" s="2">
        <v>32</v>
      </c>
      <c r="F89" s="2">
        <v>1592</v>
      </c>
      <c r="G89" s="2">
        <v>35</v>
      </c>
      <c r="H89" s="2">
        <v>45</v>
      </c>
      <c r="I89" s="2">
        <v>29</v>
      </c>
      <c r="J89" s="2">
        <v>47</v>
      </c>
      <c r="K89" s="2">
        <v>116</v>
      </c>
      <c r="L89" s="2">
        <v>109</v>
      </c>
      <c r="M89" s="2">
        <v>2950</v>
      </c>
      <c r="N89" s="2">
        <v>99</v>
      </c>
      <c r="O89" s="2">
        <v>67</v>
      </c>
      <c r="P89" s="2">
        <v>29</v>
      </c>
      <c r="Q89" s="2">
        <v>26</v>
      </c>
      <c r="R89" s="2">
        <v>3</v>
      </c>
    </row>
    <row r="90" spans="1:18" ht="9.75" customHeight="1">
      <c r="A90" s="3" t="s">
        <v>117</v>
      </c>
      <c r="C90" s="2">
        <v>1123</v>
      </c>
      <c r="D90" s="2">
        <v>23945</v>
      </c>
      <c r="E90" s="2">
        <v>542</v>
      </c>
      <c r="F90" s="2">
        <v>21688</v>
      </c>
      <c r="G90" s="2">
        <v>514</v>
      </c>
      <c r="H90" s="2">
        <v>607</v>
      </c>
      <c r="I90" s="2">
        <v>519</v>
      </c>
      <c r="J90" s="2">
        <v>721</v>
      </c>
      <c r="K90" s="2">
        <v>1735</v>
      </c>
      <c r="L90" s="2">
        <v>1460</v>
      </c>
      <c r="M90" s="2">
        <v>51502</v>
      </c>
      <c r="N90" s="2">
        <v>2103</v>
      </c>
      <c r="O90" s="2">
        <v>669</v>
      </c>
      <c r="P90" s="2">
        <v>279</v>
      </c>
      <c r="Q90" s="2">
        <v>321</v>
      </c>
      <c r="R90" s="2">
        <v>26</v>
      </c>
    </row>
    <row r="91" spans="2:18" s="4" customFormat="1" ht="9.75" customHeight="1">
      <c r="B91" s="6" t="s">
        <v>118</v>
      </c>
      <c r="C91" s="4">
        <f aca="true" t="shared" si="10" ref="C91:J91">C90/49659</f>
        <v>0.022614229042066895</v>
      </c>
      <c r="D91" s="4">
        <f t="shared" si="10"/>
        <v>0.4821885257455849</v>
      </c>
      <c r="E91" s="4">
        <f t="shared" si="10"/>
        <v>0.010914436456634246</v>
      </c>
      <c r="F91" s="4">
        <f t="shared" si="10"/>
        <v>0.43673855695845665</v>
      </c>
      <c r="G91" s="4">
        <f t="shared" si="10"/>
        <v>0.010350591030830263</v>
      </c>
      <c r="H91" s="4">
        <f t="shared" si="10"/>
        <v>0.012223363337964921</v>
      </c>
      <c r="I91" s="4">
        <f t="shared" si="10"/>
        <v>0.010451277714009544</v>
      </c>
      <c r="J91" s="4">
        <f t="shared" si="10"/>
        <v>0.014519019714452566</v>
      </c>
      <c r="K91" s="4">
        <f>K90/56800</f>
        <v>0.030545774647887325</v>
      </c>
      <c r="L91" s="4">
        <f>L90/56800</f>
        <v>0.025704225352112677</v>
      </c>
      <c r="M91" s="4">
        <f>M90/56800</f>
        <v>0.906725352112676</v>
      </c>
      <c r="N91" s="4">
        <f>N90/56800</f>
        <v>0.037024647887323944</v>
      </c>
      <c r="O91" s="4">
        <f>O90/669</f>
        <v>1</v>
      </c>
      <c r="P91" s="4">
        <f>P90/279</f>
        <v>1</v>
      </c>
      <c r="Q91" s="4">
        <f>Q90/321</f>
        <v>1</v>
      </c>
      <c r="R91" s="4">
        <f>R90/26</f>
        <v>1</v>
      </c>
    </row>
    <row r="92" spans="2:18" ht="4.5" customHeight="1"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9.75" customHeight="1">
      <c r="A93" s="3" t="s">
        <v>52</v>
      </c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9.75" customHeight="1">
      <c r="B94" s="5" t="s">
        <v>43</v>
      </c>
      <c r="C94" s="2">
        <v>473</v>
      </c>
      <c r="D94" s="2">
        <v>10952</v>
      </c>
      <c r="E94" s="2">
        <v>156</v>
      </c>
      <c r="F94" s="2">
        <v>10499</v>
      </c>
      <c r="G94" s="2">
        <v>142</v>
      </c>
      <c r="H94" s="2">
        <v>205</v>
      </c>
      <c r="I94" s="2">
        <v>71</v>
      </c>
      <c r="J94" s="2">
        <v>177</v>
      </c>
      <c r="K94" s="2">
        <v>162</v>
      </c>
      <c r="L94" s="2">
        <v>130</v>
      </c>
      <c r="M94" s="2">
        <v>4469</v>
      </c>
      <c r="N94" s="2">
        <v>160</v>
      </c>
      <c r="O94" s="2">
        <v>135</v>
      </c>
      <c r="P94" s="2">
        <v>513</v>
      </c>
      <c r="Q94" s="2">
        <v>89</v>
      </c>
      <c r="R94" s="2">
        <v>40</v>
      </c>
    </row>
    <row r="95" spans="2:18" ht="9.75" customHeight="1">
      <c r="B95" s="5" t="s">
        <v>51</v>
      </c>
      <c r="C95" s="2">
        <v>991</v>
      </c>
      <c r="D95" s="2">
        <v>26776</v>
      </c>
      <c r="E95" s="2">
        <v>451</v>
      </c>
      <c r="F95" s="2">
        <v>24581</v>
      </c>
      <c r="G95" s="2">
        <v>357</v>
      </c>
      <c r="H95" s="2">
        <v>620</v>
      </c>
      <c r="I95" s="2">
        <v>347</v>
      </c>
      <c r="J95" s="2">
        <v>608</v>
      </c>
      <c r="K95" s="2">
        <v>752</v>
      </c>
      <c r="L95" s="2">
        <v>759</v>
      </c>
      <c r="M95" s="2">
        <v>18104</v>
      </c>
      <c r="N95" s="2">
        <v>716</v>
      </c>
      <c r="O95" s="2">
        <v>388</v>
      </c>
      <c r="P95" s="2">
        <v>588</v>
      </c>
      <c r="Q95" s="2">
        <v>210</v>
      </c>
      <c r="R95" s="2">
        <v>41</v>
      </c>
    </row>
    <row r="96" spans="1:18" ht="9.75" customHeight="1">
      <c r="A96" s="3" t="s">
        <v>117</v>
      </c>
      <c r="C96" s="2">
        <v>1464</v>
      </c>
      <c r="D96" s="2">
        <v>37728</v>
      </c>
      <c r="E96" s="2">
        <v>607</v>
      </c>
      <c r="F96" s="2">
        <v>35080</v>
      </c>
      <c r="G96" s="2">
        <v>499</v>
      </c>
      <c r="H96" s="2">
        <v>825</v>
      </c>
      <c r="I96" s="2">
        <v>418</v>
      </c>
      <c r="J96" s="2">
        <v>785</v>
      </c>
      <c r="K96" s="2">
        <v>914</v>
      </c>
      <c r="L96" s="2">
        <v>889</v>
      </c>
      <c r="M96" s="2">
        <v>22573</v>
      </c>
      <c r="N96" s="2">
        <v>876</v>
      </c>
      <c r="O96" s="2">
        <v>523</v>
      </c>
      <c r="P96" s="2">
        <v>1101</v>
      </c>
      <c r="Q96" s="2">
        <v>299</v>
      </c>
      <c r="R96" s="2">
        <v>81</v>
      </c>
    </row>
    <row r="97" spans="2:18" s="4" customFormat="1" ht="9.75" customHeight="1">
      <c r="B97" s="6" t="s">
        <v>118</v>
      </c>
      <c r="C97" s="4">
        <f aca="true" t="shared" si="11" ref="C97:J97">C96/77406</f>
        <v>0.01891326253778777</v>
      </c>
      <c r="D97" s="4">
        <f t="shared" si="11"/>
        <v>0.4874040772033176</v>
      </c>
      <c r="E97" s="4">
        <f t="shared" si="11"/>
        <v>0.007841769371883316</v>
      </c>
      <c r="F97" s="4">
        <f t="shared" si="11"/>
        <v>0.4531948427770457</v>
      </c>
      <c r="G97" s="4">
        <f t="shared" si="11"/>
        <v>0.006446528692866186</v>
      </c>
      <c r="H97" s="4">
        <f t="shared" si="11"/>
        <v>0.010658088520269747</v>
      </c>
      <c r="I97" s="4">
        <f t="shared" si="11"/>
        <v>0.005400098183603338</v>
      </c>
      <c r="J97" s="4">
        <f t="shared" si="11"/>
        <v>0.010141332713226365</v>
      </c>
      <c r="K97" s="4">
        <f>K96/25252</f>
        <v>0.03619515285917947</v>
      </c>
      <c r="L97" s="4">
        <f>L96/25252</f>
        <v>0.03520513226675115</v>
      </c>
      <c r="M97" s="4">
        <f>M96/25252</f>
        <v>0.893909393315381</v>
      </c>
      <c r="N97" s="4">
        <f>N96/25252</f>
        <v>0.03469032155868842</v>
      </c>
      <c r="O97" s="4">
        <f>O96/523</f>
        <v>1</v>
      </c>
      <c r="P97" s="4">
        <f>P96/1101</f>
        <v>1</v>
      </c>
      <c r="Q97" s="4">
        <f>Q96/299</f>
        <v>1</v>
      </c>
      <c r="R97" s="4">
        <f>R96/81</f>
        <v>1</v>
      </c>
    </row>
    <row r="98" spans="2:18" ht="4.5" customHeight="1"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9.75" customHeight="1">
      <c r="A99" s="3" t="s">
        <v>53</v>
      </c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9.75" customHeight="1">
      <c r="B100" s="5" t="s">
        <v>45</v>
      </c>
      <c r="C100" s="2">
        <v>1547</v>
      </c>
      <c r="D100" s="2">
        <v>31360</v>
      </c>
      <c r="E100" s="2">
        <v>565</v>
      </c>
      <c r="F100" s="2">
        <v>24535</v>
      </c>
      <c r="G100" s="2">
        <v>531</v>
      </c>
      <c r="H100" s="2">
        <v>666</v>
      </c>
      <c r="I100" s="2">
        <v>473</v>
      </c>
      <c r="J100" s="2">
        <v>874</v>
      </c>
      <c r="K100" s="2">
        <v>957</v>
      </c>
      <c r="L100" s="2">
        <v>712</v>
      </c>
      <c r="M100" s="2">
        <v>17178</v>
      </c>
      <c r="N100" s="2">
        <v>879</v>
      </c>
      <c r="O100" s="2">
        <v>384</v>
      </c>
      <c r="P100" s="2">
        <v>619</v>
      </c>
      <c r="Q100" s="2">
        <v>282</v>
      </c>
      <c r="R100" s="2">
        <v>50</v>
      </c>
    </row>
    <row r="101" spans="1:18" ht="9.75" customHeight="1">
      <c r="A101" s="3" t="s">
        <v>117</v>
      </c>
      <c r="C101" s="2">
        <v>1547</v>
      </c>
      <c r="D101" s="2">
        <v>31360</v>
      </c>
      <c r="E101" s="2">
        <v>565</v>
      </c>
      <c r="F101" s="2">
        <v>24535</v>
      </c>
      <c r="G101" s="2">
        <v>531</v>
      </c>
      <c r="H101" s="2">
        <v>666</v>
      </c>
      <c r="I101" s="2">
        <v>473</v>
      </c>
      <c r="J101" s="2">
        <v>874</v>
      </c>
      <c r="K101" s="2">
        <v>957</v>
      </c>
      <c r="L101" s="2">
        <v>712</v>
      </c>
      <c r="M101" s="2">
        <v>17178</v>
      </c>
      <c r="N101" s="2">
        <v>879</v>
      </c>
      <c r="O101" s="2">
        <v>384</v>
      </c>
      <c r="P101" s="2">
        <v>619</v>
      </c>
      <c r="Q101" s="2">
        <v>282</v>
      </c>
      <c r="R101" s="2">
        <v>50</v>
      </c>
    </row>
    <row r="102" spans="2:18" s="4" customFormat="1" ht="9.75" customHeight="1">
      <c r="B102" s="6" t="s">
        <v>118</v>
      </c>
      <c r="C102" s="4">
        <f aca="true" t="shared" si="12" ref="C102:J102">C101/60551</f>
        <v>0.025548711003947087</v>
      </c>
      <c r="D102" s="4">
        <f t="shared" si="12"/>
        <v>0.5179105217089726</v>
      </c>
      <c r="E102" s="4">
        <f t="shared" si="12"/>
        <v>0.00933097719277964</v>
      </c>
      <c r="F102" s="4">
        <f t="shared" si="12"/>
        <v>0.4051956202209708</v>
      </c>
      <c r="G102" s="4">
        <f t="shared" si="12"/>
        <v>0.00876946706082476</v>
      </c>
      <c r="H102" s="4">
        <f t="shared" si="12"/>
        <v>0.010998992584763258</v>
      </c>
      <c r="I102" s="4">
        <f t="shared" si="12"/>
        <v>0.007811596835725256</v>
      </c>
      <c r="J102" s="4">
        <f t="shared" si="12"/>
        <v>0.014434113392016647</v>
      </c>
      <c r="K102" s="4">
        <f>K101/19726</f>
        <v>0.04851465071479266</v>
      </c>
      <c r="L102" s="4">
        <f>L101/19726</f>
        <v>0.03609449457568691</v>
      </c>
      <c r="M102" s="4">
        <f>M101/19726</f>
        <v>0.8708303761533002</v>
      </c>
      <c r="N102" s="4">
        <f>N101/19726</f>
        <v>0.044560478556220216</v>
      </c>
      <c r="O102" s="4">
        <f>O101/384</f>
        <v>1</v>
      </c>
      <c r="P102" s="4">
        <f>P101/619</f>
        <v>1</v>
      </c>
      <c r="Q102" s="4">
        <f>Q101/282</f>
        <v>1</v>
      </c>
      <c r="R102" s="4">
        <f>R101/50</f>
        <v>1</v>
      </c>
    </row>
    <row r="103" spans="2:18" ht="4.5" customHeight="1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9.75" customHeight="1">
      <c r="A104" s="3" t="s">
        <v>55</v>
      </c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9.75" customHeight="1">
      <c r="B105" s="5" t="s">
        <v>51</v>
      </c>
      <c r="C105" s="2">
        <v>372</v>
      </c>
      <c r="D105" s="2">
        <v>9246</v>
      </c>
      <c r="E105" s="2">
        <v>125</v>
      </c>
      <c r="F105" s="2">
        <v>10293</v>
      </c>
      <c r="G105" s="2">
        <v>113</v>
      </c>
      <c r="H105" s="2">
        <v>293</v>
      </c>
      <c r="I105" s="2">
        <v>70</v>
      </c>
      <c r="J105" s="2">
        <v>242</v>
      </c>
      <c r="K105" s="2">
        <v>356</v>
      </c>
      <c r="L105" s="2">
        <v>279</v>
      </c>
      <c r="M105" s="2">
        <v>9010</v>
      </c>
      <c r="N105" s="2">
        <v>312</v>
      </c>
      <c r="O105" s="2">
        <v>152</v>
      </c>
      <c r="P105" s="2">
        <v>350</v>
      </c>
      <c r="Q105" s="2">
        <v>156</v>
      </c>
      <c r="R105" s="2">
        <v>22</v>
      </c>
    </row>
    <row r="106" spans="2:18" ht="9.75" customHeight="1">
      <c r="B106" s="5" t="s">
        <v>49</v>
      </c>
      <c r="C106" s="2">
        <v>665</v>
      </c>
      <c r="D106" s="2">
        <v>16801</v>
      </c>
      <c r="E106" s="2">
        <v>282</v>
      </c>
      <c r="F106" s="2">
        <v>19673</v>
      </c>
      <c r="G106" s="2">
        <v>247</v>
      </c>
      <c r="H106" s="2">
        <v>608</v>
      </c>
      <c r="I106" s="2">
        <v>183</v>
      </c>
      <c r="J106" s="2">
        <v>370</v>
      </c>
      <c r="K106" s="2">
        <v>857</v>
      </c>
      <c r="L106" s="2">
        <v>547</v>
      </c>
      <c r="M106" s="2">
        <v>19918</v>
      </c>
      <c r="N106" s="2">
        <v>726</v>
      </c>
      <c r="O106" s="2">
        <v>330</v>
      </c>
      <c r="P106" s="2">
        <v>539</v>
      </c>
      <c r="Q106" s="2">
        <v>384</v>
      </c>
      <c r="R106" s="2">
        <v>40</v>
      </c>
    </row>
    <row r="107" spans="2:18" ht="9.75" customHeight="1">
      <c r="B107" s="5" t="s">
        <v>54</v>
      </c>
      <c r="C107" s="2">
        <v>291</v>
      </c>
      <c r="D107" s="2">
        <v>4427</v>
      </c>
      <c r="E107" s="2">
        <v>139</v>
      </c>
      <c r="F107" s="2">
        <v>4674</v>
      </c>
      <c r="G107" s="2">
        <v>51</v>
      </c>
      <c r="H107" s="2">
        <v>231</v>
      </c>
      <c r="I107" s="2">
        <v>79</v>
      </c>
      <c r="J107" s="2">
        <v>164</v>
      </c>
      <c r="K107" s="2">
        <v>194</v>
      </c>
      <c r="L107" s="2">
        <v>168</v>
      </c>
      <c r="M107" s="2">
        <v>4688</v>
      </c>
      <c r="N107" s="2">
        <v>168</v>
      </c>
      <c r="O107" s="2">
        <v>122</v>
      </c>
      <c r="P107" s="2">
        <v>364</v>
      </c>
      <c r="Q107" s="2">
        <v>126</v>
      </c>
      <c r="R107" s="2">
        <v>19</v>
      </c>
    </row>
    <row r="108" spans="1:18" ht="9.75" customHeight="1">
      <c r="A108" s="3" t="s">
        <v>117</v>
      </c>
      <c r="C108" s="2">
        <v>1328</v>
      </c>
      <c r="D108" s="2">
        <v>30474</v>
      </c>
      <c r="E108" s="2">
        <v>546</v>
      </c>
      <c r="F108" s="2">
        <v>34640</v>
      </c>
      <c r="G108" s="2">
        <v>411</v>
      </c>
      <c r="H108" s="2">
        <v>1132</v>
      </c>
      <c r="I108" s="2">
        <v>332</v>
      </c>
      <c r="J108" s="2">
        <v>776</v>
      </c>
      <c r="K108" s="2">
        <v>1407</v>
      </c>
      <c r="L108" s="2">
        <v>994</v>
      </c>
      <c r="M108" s="2">
        <v>33616</v>
      </c>
      <c r="N108" s="2">
        <v>1206</v>
      </c>
      <c r="O108" s="2">
        <v>604</v>
      </c>
      <c r="P108" s="2">
        <v>1253</v>
      </c>
      <c r="Q108" s="2">
        <v>666</v>
      </c>
      <c r="R108" s="2">
        <v>81</v>
      </c>
    </row>
    <row r="109" spans="2:18" s="4" customFormat="1" ht="9.75" customHeight="1">
      <c r="B109" s="6" t="s">
        <v>118</v>
      </c>
      <c r="C109" s="4">
        <f aca="true" t="shared" si="13" ref="C109:J109">C108/69639</f>
        <v>0.019069774120823103</v>
      </c>
      <c r="D109" s="4">
        <f t="shared" si="13"/>
        <v>0.4375996209020807</v>
      </c>
      <c r="E109" s="4">
        <f t="shared" si="13"/>
        <v>0.007840434239434799</v>
      </c>
      <c r="F109" s="4">
        <f t="shared" si="13"/>
        <v>0.49742242134436165</v>
      </c>
      <c r="G109" s="4">
        <f t="shared" si="13"/>
        <v>0.0059018653340800415</v>
      </c>
      <c r="H109" s="4">
        <f t="shared" si="13"/>
        <v>0.016255259265641378</v>
      </c>
      <c r="I109" s="4">
        <f t="shared" si="13"/>
        <v>0.004767443530205776</v>
      </c>
      <c r="J109" s="4">
        <f t="shared" si="13"/>
        <v>0.011143181263372536</v>
      </c>
      <c r="K109" s="4">
        <f>K108/37223</f>
        <v>0.037799210165757734</v>
      </c>
      <c r="L109" s="4">
        <f>L108/37223</f>
        <v>0.02670391961959004</v>
      </c>
      <c r="M109" s="4">
        <f>M108/37223</f>
        <v>0.9030975472154313</v>
      </c>
      <c r="N109" s="4">
        <f>N108/37223</f>
        <v>0.03239932299922091</v>
      </c>
      <c r="O109" s="4">
        <f>O108/604</f>
        <v>1</v>
      </c>
      <c r="P109" s="4">
        <f>P108/1253</f>
        <v>1</v>
      </c>
      <c r="Q109" s="4">
        <f>Q108/666</f>
        <v>1</v>
      </c>
      <c r="R109" s="4">
        <f>R108/81</f>
        <v>1</v>
      </c>
    </row>
    <row r="110" spans="2:18" ht="4.5" customHeight="1"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9.75" customHeight="1">
      <c r="A111" s="3" t="s">
        <v>56</v>
      </c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9.75" customHeight="1">
      <c r="B112" s="5" t="s">
        <v>49</v>
      </c>
      <c r="C112" s="2">
        <v>1292</v>
      </c>
      <c r="D112" s="2">
        <v>23309</v>
      </c>
      <c r="E112" s="2">
        <v>541</v>
      </c>
      <c r="F112" s="2">
        <v>24413</v>
      </c>
      <c r="G112" s="2">
        <v>636</v>
      </c>
      <c r="H112" s="2">
        <v>801</v>
      </c>
      <c r="I112" s="2">
        <v>345</v>
      </c>
      <c r="J112" s="2">
        <v>823</v>
      </c>
      <c r="K112" s="2">
        <v>1323</v>
      </c>
      <c r="L112" s="2">
        <v>1036</v>
      </c>
      <c r="M112" s="2">
        <v>27019</v>
      </c>
      <c r="N112" s="2">
        <v>1262</v>
      </c>
      <c r="O112" s="2">
        <v>712</v>
      </c>
      <c r="P112" s="2">
        <v>507</v>
      </c>
      <c r="Q112" s="2">
        <v>449</v>
      </c>
      <c r="R112" s="2">
        <v>54</v>
      </c>
    </row>
    <row r="113" spans="1:18" ht="9.75" customHeight="1">
      <c r="A113" s="3" t="s">
        <v>117</v>
      </c>
      <c r="C113" s="2">
        <v>1292</v>
      </c>
      <c r="D113" s="2">
        <v>23309</v>
      </c>
      <c r="E113" s="2">
        <v>541</v>
      </c>
      <c r="F113" s="2">
        <v>24413</v>
      </c>
      <c r="G113" s="2">
        <v>636</v>
      </c>
      <c r="H113" s="2">
        <v>801</v>
      </c>
      <c r="I113" s="2">
        <v>345</v>
      </c>
      <c r="J113" s="2">
        <v>823</v>
      </c>
      <c r="K113" s="2">
        <v>1323</v>
      </c>
      <c r="L113" s="2">
        <v>1036</v>
      </c>
      <c r="M113" s="2">
        <v>27019</v>
      </c>
      <c r="N113" s="2">
        <v>1262</v>
      </c>
      <c r="O113" s="2">
        <v>712</v>
      </c>
      <c r="P113" s="2">
        <v>507</v>
      </c>
      <c r="Q113" s="2">
        <v>449</v>
      </c>
      <c r="R113" s="2">
        <v>54</v>
      </c>
    </row>
    <row r="114" spans="2:18" s="4" customFormat="1" ht="9.75" customHeight="1">
      <c r="B114" s="6" t="s">
        <v>118</v>
      </c>
      <c r="C114" s="4">
        <f aca="true" t="shared" si="14" ref="C114:J114">C113/52160</f>
        <v>0.024769938650306748</v>
      </c>
      <c r="D114" s="4">
        <f t="shared" si="14"/>
        <v>0.446875</v>
      </c>
      <c r="E114" s="4">
        <f t="shared" si="14"/>
        <v>0.010371932515337424</v>
      </c>
      <c r="F114" s="4">
        <f t="shared" si="14"/>
        <v>0.46804064417177915</v>
      </c>
      <c r="G114" s="4">
        <f t="shared" si="14"/>
        <v>0.012193251533742332</v>
      </c>
      <c r="H114" s="4">
        <f t="shared" si="14"/>
        <v>0.01535659509202454</v>
      </c>
      <c r="I114" s="4">
        <f t="shared" si="14"/>
        <v>0.006614263803680982</v>
      </c>
      <c r="J114" s="4">
        <f t="shared" si="14"/>
        <v>0.015778374233128833</v>
      </c>
      <c r="K114" s="4">
        <f>K113/30640</f>
        <v>0.043178851174934724</v>
      </c>
      <c r="L114" s="4">
        <f>L113/30640</f>
        <v>0.03381201044386423</v>
      </c>
      <c r="M114" s="4">
        <f>M113/30640</f>
        <v>0.8818211488250652</v>
      </c>
      <c r="N114" s="4">
        <f>N113/30640</f>
        <v>0.04118798955613577</v>
      </c>
      <c r="O114" s="4">
        <f>O113/712</f>
        <v>1</v>
      </c>
      <c r="P114" s="4">
        <f>P113/507</f>
        <v>1</v>
      </c>
      <c r="Q114" s="4">
        <f>Q113/449</f>
        <v>1</v>
      </c>
      <c r="R114" s="4">
        <f>R113/54</f>
        <v>1</v>
      </c>
    </row>
    <row r="115" spans="2:18" ht="4.5" customHeight="1"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9.75" customHeight="1">
      <c r="A116" s="3" t="s">
        <v>57</v>
      </c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ht="9.75" customHeight="1">
      <c r="B117" s="5" t="s">
        <v>49</v>
      </c>
      <c r="C117" s="2">
        <v>1250</v>
      </c>
      <c r="D117" s="2">
        <v>22491</v>
      </c>
      <c r="E117" s="2">
        <v>430</v>
      </c>
      <c r="F117" s="2">
        <v>22790</v>
      </c>
      <c r="G117" s="2">
        <v>929</v>
      </c>
      <c r="H117" s="2">
        <v>637</v>
      </c>
      <c r="I117" s="2">
        <v>379</v>
      </c>
      <c r="J117" s="2">
        <v>724</v>
      </c>
      <c r="K117" s="2">
        <v>1017</v>
      </c>
      <c r="L117" s="2">
        <v>1112</v>
      </c>
      <c r="M117" s="2">
        <v>22568</v>
      </c>
      <c r="N117" s="2">
        <v>1161</v>
      </c>
      <c r="O117" s="2">
        <v>712</v>
      </c>
      <c r="P117" s="2">
        <v>449</v>
      </c>
      <c r="Q117" s="2">
        <v>317</v>
      </c>
      <c r="R117" s="2">
        <v>80</v>
      </c>
    </row>
    <row r="118" spans="1:18" ht="9.75" customHeight="1">
      <c r="A118" s="3" t="s">
        <v>117</v>
      </c>
      <c r="C118" s="2">
        <v>1250</v>
      </c>
      <c r="D118" s="2">
        <v>22491</v>
      </c>
      <c r="E118" s="2">
        <v>430</v>
      </c>
      <c r="F118" s="2">
        <v>22790</v>
      </c>
      <c r="G118" s="2">
        <v>929</v>
      </c>
      <c r="H118" s="2">
        <v>637</v>
      </c>
      <c r="I118" s="2">
        <v>379</v>
      </c>
      <c r="J118" s="2">
        <v>724</v>
      </c>
      <c r="K118" s="2">
        <v>1017</v>
      </c>
      <c r="L118" s="2">
        <v>1112</v>
      </c>
      <c r="M118" s="2">
        <v>22568</v>
      </c>
      <c r="N118" s="2">
        <v>1161</v>
      </c>
      <c r="O118" s="2">
        <v>712</v>
      </c>
      <c r="P118" s="2">
        <v>449</v>
      </c>
      <c r="Q118" s="2">
        <v>317</v>
      </c>
      <c r="R118" s="2">
        <v>80</v>
      </c>
    </row>
    <row r="119" spans="2:18" s="4" customFormat="1" ht="9.75" customHeight="1">
      <c r="B119" s="6" t="s">
        <v>118</v>
      </c>
      <c r="C119" s="4">
        <f aca="true" t="shared" si="15" ref="C119:J119">C118/49630</f>
        <v>0.025186379206125327</v>
      </c>
      <c r="D119" s="4">
        <f t="shared" si="15"/>
        <v>0.4531734837799718</v>
      </c>
      <c r="E119" s="4">
        <f t="shared" si="15"/>
        <v>0.008664114446907113</v>
      </c>
      <c r="F119" s="4">
        <f t="shared" si="15"/>
        <v>0.45919806568607696</v>
      </c>
      <c r="G119" s="4">
        <f t="shared" si="15"/>
        <v>0.018718517025992344</v>
      </c>
      <c r="H119" s="4">
        <f t="shared" si="15"/>
        <v>0.012834978843441466</v>
      </c>
      <c r="I119" s="4">
        <f t="shared" si="15"/>
        <v>0.0076365101752971995</v>
      </c>
      <c r="J119" s="4">
        <f t="shared" si="15"/>
        <v>0.01458795083618779</v>
      </c>
      <c r="K119" s="4">
        <f>K118/25858</f>
        <v>0.03933018794957073</v>
      </c>
      <c r="L119" s="4">
        <f>L118/25858</f>
        <v>0.04300409931162503</v>
      </c>
      <c r="M119" s="4">
        <f>M118/25858</f>
        <v>0.8727666486193828</v>
      </c>
      <c r="N119" s="4">
        <f>N118/25858</f>
        <v>0.044899064119421454</v>
      </c>
      <c r="O119" s="4">
        <f>O118/712</f>
        <v>1</v>
      </c>
      <c r="P119" s="4">
        <f>P118/449</f>
        <v>1</v>
      </c>
      <c r="Q119" s="4">
        <f>Q118/317</f>
        <v>1</v>
      </c>
      <c r="R119" s="4">
        <f>R118/80</f>
        <v>1</v>
      </c>
    </row>
    <row r="120" spans="2:18" ht="4.5" customHeight="1"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9.75" customHeight="1">
      <c r="A121" s="3" t="s">
        <v>60</v>
      </c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ht="9.75" customHeight="1">
      <c r="B122" s="5" t="s">
        <v>58</v>
      </c>
      <c r="C122" s="2">
        <v>1056</v>
      </c>
      <c r="D122" s="2">
        <v>11416</v>
      </c>
      <c r="E122" s="2">
        <v>330</v>
      </c>
      <c r="F122" s="2">
        <v>12989</v>
      </c>
      <c r="G122" s="2">
        <v>415</v>
      </c>
      <c r="H122" s="2">
        <v>477</v>
      </c>
      <c r="I122" s="2">
        <v>256</v>
      </c>
      <c r="J122" s="2">
        <v>547</v>
      </c>
      <c r="K122" s="2">
        <v>474</v>
      </c>
      <c r="L122" s="2">
        <v>562</v>
      </c>
      <c r="M122" s="2">
        <v>17315</v>
      </c>
      <c r="N122" s="2">
        <v>628</v>
      </c>
      <c r="O122" s="2">
        <v>301</v>
      </c>
      <c r="P122" s="2">
        <v>359</v>
      </c>
      <c r="Q122" s="2">
        <v>136</v>
      </c>
      <c r="R122" s="2">
        <v>31</v>
      </c>
    </row>
    <row r="123" spans="2:18" ht="9.75" customHeight="1">
      <c r="B123" s="5" t="s">
        <v>59</v>
      </c>
      <c r="C123" s="2">
        <v>230</v>
      </c>
      <c r="D123" s="2">
        <v>2181</v>
      </c>
      <c r="E123" s="2">
        <v>60</v>
      </c>
      <c r="F123" s="2">
        <v>2083</v>
      </c>
      <c r="G123" s="2">
        <v>77</v>
      </c>
      <c r="H123" s="2">
        <v>79</v>
      </c>
      <c r="I123" s="2">
        <v>43</v>
      </c>
      <c r="J123" s="2">
        <v>136</v>
      </c>
      <c r="K123" s="2">
        <v>142</v>
      </c>
      <c r="L123" s="2">
        <v>113</v>
      </c>
      <c r="M123" s="2">
        <v>3360</v>
      </c>
      <c r="N123" s="2">
        <v>122</v>
      </c>
      <c r="O123" s="2">
        <v>79</v>
      </c>
      <c r="P123" s="2">
        <v>40</v>
      </c>
      <c r="Q123" s="2">
        <v>28</v>
      </c>
      <c r="R123" s="2">
        <v>5</v>
      </c>
    </row>
    <row r="124" spans="2:18" ht="9.75" customHeight="1">
      <c r="B124" s="5" t="s">
        <v>54</v>
      </c>
      <c r="C124" s="2">
        <v>889</v>
      </c>
      <c r="D124" s="2">
        <v>12222</v>
      </c>
      <c r="E124" s="2">
        <v>223</v>
      </c>
      <c r="F124" s="2">
        <v>10500</v>
      </c>
      <c r="G124" s="2">
        <v>155</v>
      </c>
      <c r="H124" s="2">
        <v>483</v>
      </c>
      <c r="I124" s="2">
        <v>164</v>
      </c>
      <c r="J124" s="2">
        <v>472</v>
      </c>
      <c r="K124" s="2">
        <v>294</v>
      </c>
      <c r="L124" s="2">
        <v>283</v>
      </c>
      <c r="M124" s="2">
        <v>7298</v>
      </c>
      <c r="N124" s="2">
        <v>284</v>
      </c>
      <c r="O124" s="2">
        <v>232</v>
      </c>
      <c r="P124" s="2">
        <v>936</v>
      </c>
      <c r="Q124" s="2">
        <v>167</v>
      </c>
      <c r="R124" s="2">
        <v>63</v>
      </c>
    </row>
    <row r="125" spans="1:18" ht="9.75" customHeight="1">
      <c r="A125" s="3" t="s">
        <v>117</v>
      </c>
      <c r="C125" s="2">
        <v>2175</v>
      </c>
      <c r="D125" s="2">
        <v>25819</v>
      </c>
      <c r="E125" s="2">
        <v>613</v>
      </c>
      <c r="F125" s="2">
        <v>25572</v>
      </c>
      <c r="G125" s="2">
        <v>647</v>
      </c>
      <c r="H125" s="2">
        <v>1039</v>
      </c>
      <c r="I125" s="2">
        <v>463</v>
      </c>
      <c r="J125" s="2">
        <v>1155</v>
      </c>
      <c r="K125" s="2">
        <v>910</v>
      </c>
      <c r="L125" s="2">
        <v>958</v>
      </c>
      <c r="M125" s="2">
        <v>27973</v>
      </c>
      <c r="N125" s="2">
        <v>1034</v>
      </c>
      <c r="O125" s="2">
        <v>612</v>
      </c>
      <c r="P125" s="2">
        <v>1335</v>
      </c>
      <c r="Q125" s="2">
        <v>331</v>
      </c>
      <c r="R125" s="2">
        <v>99</v>
      </c>
    </row>
    <row r="126" spans="2:18" s="4" customFormat="1" ht="9.75" customHeight="1">
      <c r="B126" s="6" t="s">
        <v>118</v>
      </c>
      <c r="C126" s="4">
        <f aca="true" t="shared" si="16" ref="C126:J126">C125/57483</f>
        <v>0.037837273628725014</v>
      </c>
      <c r="D126" s="4">
        <f t="shared" si="16"/>
        <v>0.44915888175634533</v>
      </c>
      <c r="E126" s="4">
        <f t="shared" si="16"/>
        <v>0.010664022406624568</v>
      </c>
      <c r="F126" s="4">
        <f t="shared" si="16"/>
        <v>0.4448619591879338</v>
      </c>
      <c r="G126" s="4">
        <f t="shared" si="16"/>
        <v>0.011255501626567854</v>
      </c>
      <c r="H126" s="4">
        <f t="shared" si="16"/>
        <v>0.018074909103561052</v>
      </c>
      <c r="I126" s="4">
        <f t="shared" si="16"/>
        <v>0.008054555259815946</v>
      </c>
      <c r="J126" s="4">
        <f t="shared" si="16"/>
        <v>0.020092897030426386</v>
      </c>
      <c r="K126" s="4">
        <f>K125/30875</f>
        <v>0.029473684210526315</v>
      </c>
      <c r="L126" s="4">
        <f>L125/30875</f>
        <v>0.03102834008097166</v>
      </c>
      <c r="M126" s="4">
        <f>M125/30875</f>
        <v>0.906008097165992</v>
      </c>
      <c r="N126" s="4">
        <f>N125/30875</f>
        <v>0.03348987854251012</v>
      </c>
      <c r="O126" s="4">
        <f>O125/612</f>
        <v>1</v>
      </c>
      <c r="P126" s="4">
        <f>P125/1335</f>
        <v>1</v>
      </c>
      <c r="Q126" s="4">
        <f>Q125/331</f>
        <v>1</v>
      </c>
      <c r="R126" s="4">
        <f>R125/99</f>
        <v>1</v>
      </c>
    </row>
    <row r="127" spans="2:18" ht="4.5" customHeight="1"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9.75" customHeight="1">
      <c r="A128" s="3" t="s">
        <v>65</v>
      </c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9.75" customHeight="1">
      <c r="B129" s="5" t="s">
        <v>61</v>
      </c>
      <c r="C129" s="2">
        <v>4</v>
      </c>
      <c r="D129" s="2">
        <v>53</v>
      </c>
      <c r="E129" s="2">
        <v>2</v>
      </c>
      <c r="F129" s="2">
        <v>118</v>
      </c>
      <c r="G129" s="2">
        <v>2</v>
      </c>
      <c r="H129" s="2">
        <v>2</v>
      </c>
      <c r="I129" s="2">
        <v>4</v>
      </c>
      <c r="J129" s="2">
        <v>3</v>
      </c>
      <c r="K129" s="2">
        <v>2</v>
      </c>
      <c r="L129" s="2">
        <v>2</v>
      </c>
      <c r="M129" s="2">
        <v>323</v>
      </c>
      <c r="N129" s="2">
        <v>5</v>
      </c>
      <c r="O129" s="2">
        <v>2</v>
      </c>
      <c r="P129" s="2">
        <v>1</v>
      </c>
      <c r="Q129" s="2">
        <v>0</v>
      </c>
      <c r="R129" s="2">
        <v>0</v>
      </c>
    </row>
    <row r="130" spans="2:18" ht="9.75" customHeight="1">
      <c r="B130" s="5" t="s">
        <v>62</v>
      </c>
      <c r="C130" s="2">
        <v>3</v>
      </c>
      <c r="D130" s="2">
        <v>16</v>
      </c>
      <c r="E130" s="2">
        <v>1</v>
      </c>
      <c r="F130" s="2">
        <v>30</v>
      </c>
      <c r="G130" s="2">
        <v>1</v>
      </c>
      <c r="H130" s="2">
        <v>2</v>
      </c>
      <c r="I130" s="2">
        <v>1</v>
      </c>
      <c r="J130" s="2">
        <v>2</v>
      </c>
      <c r="K130" s="2">
        <v>5</v>
      </c>
      <c r="L130" s="2">
        <v>1</v>
      </c>
      <c r="M130" s="2">
        <v>139</v>
      </c>
      <c r="N130" s="2">
        <v>8</v>
      </c>
      <c r="O130" s="2">
        <v>1</v>
      </c>
      <c r="P130" s="2">
        <v>0</v>
      </c>
      <c r="Q130" s="2">
        <v>0</v>
      </c>
      <c r="R130" s="2">
        <v>0</v>
      </c>
    </row>
    <row r="131" spans="2:18" ht="9.75" customHeight="1">
      <c r="B131" s="5" t="s">
        <v>63</v>
      </c>
      <c r="C131" s="2">
        <v>332</v>
      </c>
      <c r="D131" s="2">
        <v>3622</v>
      </c>
      <c r="E131" s="2">
        <v>140</v>
      </c>
      <c r="F131" s="2">
        <v>5565</v>
      </c>
      <c r="G131" s="2">
        <v>140</v>
      </c>
      <c r="H131" s="2">
        <v>145</v>
      </c>
      <c r="I131" s="2">
        <v>116</v>
      </c>
      <c r="J131" s="2">
        <v>174</v>
      </c>
      <c r="K131" s="2">
        <v>372</v>
      </c>
      <c r="L131" s="2">
        <v>337</v>
      </c>
      <c r="M131" s="2">
        <v>8856</v>
      </c>
      <c r="N131" s="2">
        <v>541</v>
      </c>
      <c r="O131" s="2">
        <v>152</v>
      </c>
      <c r="P131" s="2">
        <v>59</v>
      </c>
      <c r="Q131" s="2">
        <v>41</v>
      </c>
      <c r="R131" s="2">
        <v>10</v>
      </c>
    </row>
    <row r="132" spans="2:18" ht="9.75" customHeight="1">
      <c r="B132" s="5" t="s">
        <v>48</v>
      </c>
      <c r="C132" s="2">
        <v>360</v>
      </c>
      <c r="D132" s="2">
        <v>5013</v>
      </c>
      <c r="E132" s="2">
        <v>79</v>
      </c>
      <c r="F132" s="2">
        <v>3629</v>
      </c>
      <c r="G132" s="2">
        <v>155</v>
      </c>
      <c r="H132" s="2">
        <v>143</v>
      </c>
      <c r="I132" s="2">
        <v>119</v>
      </c>
      <c r="J132" s="2">
        <v>156</v>
      </c>
      <c r="K132" s="2">
        <v>241</v>
      </c>
      <c r="L132" s="2">
        <v>164</v>
      </c>
      <c r="M132" s="2">
        <v>3005</v>
      </c>
      <c r="N132" s="2">
        <v>296</v>
      </c>
      <c r="O132" s="2">
        <v>72</v>
      </c>
      <c r="P132" s="2">
        <v>35</v>
      </c>
      <c r="Q132" s="2">
        <v>19</v>
      </c>
      <c r="R132" s="2">
        <v>20</v>
      </c>
    </row>
    <row r="133" spans="2:18" ht="9.75" customHeight="1">
      <c r="B133" s="5" t="s">
        <v>64</v>
      </c>
      <c r="C133" s="2">
        <v>479</v>
      </c>
      <c r="D133" s="2">
        <v>5685</v>
      </c>
      <c r="E133" s="2">
        <v>155</v>
      </c>
      <c r="F133" s="2">
        <v>5966</v>
      </c>
      <c r="G133" s="2">
        <v>191</v>
      </c>
      <c r="H133" s="2">
        <v>182</v>
      </c>
      <c r="I133" s="2">
        <v>205</v>
      </c>
      <c r="J133" s="2">
        <v>207</v>
      </c>
      <c r="K133" s="2">
        <v>448</v>
      </c>
      <c r="L133" s="2">
        <v>328</v>
      </c>
      <c r="M133" s="2">
        <v>8278</v>
      </c>
      <c r="N133" s="2">
        <v>630</v>
      </c>
      <c r="O133" s="2">
        <v>184</v>
      </c>
      <c r="P133" s="2">
        <v>72</v>
      </c>
      <c r="Q133" s="2">
        <v>59</v>
      </c>
      <c r="R133" s="2">
        <v>24</v>
      </c>
    </row>
    <row r="134" spans="1:18" ht="9.75" customHeight="1">
      <c r="A134" s="3" t="s">
        <v>117</v>
      </c>
      <c r="C134" s="2">
        <v>1178</v>
      </c>
      <c r="D134" s="2">
        <v>14389</v>
      </c>
      <c r="E134" s="2">
        <v>377</v>
      </c>
      <c r="F134" s="2">
        <v>15308</v>
      </c>
      <c r="G134" s="2">
        <v>489</v>
      </c>
      <c r="H134" s="2">
        <v>474</v>
      </c>
      <c r="I134" s="2">
        <v>445</v>
      </c>
      <c r="J134" s="2">
        <v>542</v>
      </c>
      <c r="K134" s="2">
        <v>1068</v>
      </c>
      <c r="L134" s="2">
        <v>832</v>
      </c>
      <c r="M134" s="2">
        <v>20601</v>
      </c>
      <c r="N134" s="2">
        <v>1480</v>
      </c>
      <c r="O134" s="2">
        <v>411</v>
      </c>
      <c r="P134" s="2">
        <v>167</v>
      </c>
      <c r="Q134" s="2">
        <v>119</v>
      </c>
      <c r="R134" s="2">
        <v>54</v>
      </c>
    </row>
    <row r="135" spans="2:18" s="4" customFormat="1" ht="9.75" customHeight="1">
      <c r="B135" s="6" t="s">
        <v>118</v>
      </c>
      <c r="C135" s="4">
        <f aca="true" t="shared" si="17" ref="C135:J135">C134/33202</f>
        <v>0.03547979037407385</v>
      </c>
      <c r="D135" s="4">
        <f t="shared" si="17"/>
        <v>0.43337750737907355</v>
      </c>
      <c r="E135" s="4">
        <f t="shared" si="17"/>
        <v>0.011354737666405637</v>
      </c>
      <c r="F135" s="4">
        <f t="shared" si="17"/>
        <v>0.46105656285765917</v>
      </c>
      <c r="G135" s="4">
        <f t="shared" si="17"/>
        <v>0.014728028432022167</v>
      </c>
      <c r="H135" s="4">
        <f t="shared" si="17"/>
        <v>0.014276248418769953</v>
      </c>
      <c r="I135" s="4">
        <f t="shared" si="17"/>
        <v>0.013402807059815674</v>
      </c>
      <c r="J135" s="4">
        <f t="shared" si="17"/>
        <v>0.016324317812179988</v>
      </c>
      <c r="K135" s="4">
        <f>K134/23981</f>
        <v>0.0445352570785205</v>
      </c>
      <c r="L135" s="4">
        <f>L134/23981</f>
        <v>0.034694132855177015</v>
      </c>
      <c r="M135" s="4">
        <f>M134/23981</f>
        <v>0.8590550852758434</v>
      </c>
      <c r="N135" s="4">
        <f>N134/23981</f>
        <v>0.061715524790459116</v>
      </c>
      <c r="O135" s="4">
        <f>O134/411</f>
        <v>1</v>
      </c>
      <c r="P135" s="4">
        <f>P134/167</f>
        <v>1</v>
      </c>
      <c r="Q135" s="4">
        <f>Q134/119</f>
        <v>1</v>
      </c>
      <c r="R135" s="4">
        <f>R134/54</f>
        <v>1</v>
      </c>
    </row>
    <row r="136" spans="2:18" ht="4.5" customHeight="1"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9.75" customHeight="1">
      <c r="A137" s="3" t="s">
        <v>68</v>
      </c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9.75" customHeight="1">
      <c r="B138" s="5" t="s">
        <v>61</v>
      </c>
      <c r="C138" s="2">
        <v>372</v>
      </c>
      <c r="D138" s="2">
        <v>5114</v>
      </c>
      <c r="E138" s="2">
        <v>88</v>
      </c>
      <c r="F138" s="2">
        <v>9164</v>
      </c>
      <c r="G138" s="2">
        <v>146</v>
      </c>
      <c r="H138" s="2">
        <v>194</v>
      </c>
      <c r="I138" s="2">
        <v>82</v>
      </c>
      <c r="J138" s="2">
        <v>209</v>
      </c>
      <c r="K138" s="2">
        <v>442</v>
      </c>
      <c r="L138" s="2">
        <v>388</v>
      </c>
      <c r="M138" s="2">
        <v>18062</v>
      </c>
      <c r="N138" s="2">
        <v>699</v>
      </c>
      <c r="O138" s="2">
        <v>148</v>
      </c>
      <c r="P138" s="2">
        <v>150</v>
      </c>
      <c r="Q138" s="2">
        <v>82</v>
      </c>
      <c r="R138" s="2">
        <v>21</v>
      </c>
    </row>
    <row r="139" spans="2:18" ht="9.75" customHeight="1">
      <c r="B139" s="5" t="s">
        <v>62</v>
      </c>
      <c r="C139" s="2">
        <v>277</v>
      </c>
      <c r="D139" s="2">
        <v>2038</v>
      </c>
      <c r="E139" s="2">
        <v>91</v>
      </c>
      <c r="F139" s="2">
        <v>3780</v>
      </c>
      <c r="G139" s="2">
        <v>83</v>
      </c>
      <c r="H139" s="2">
        <v>134</v>
      </c>
      <c r="I139" s="2">
        <v>82</v>
      </c>
      <c r="J139" s="2">
        <v>162</v>
      </c>
      <c r="K139" s="2">
        <v>372</v>
      </c>
      <c r="L139" s="2">
        <v>336</v>
      </c>
      <c r="M139" s="2">
        <v>9065</v>
      </c>
      <c r="N139" s="2">
        <v>537</v>
      </c>
      <c r="O139" s="2">
        <v>183</v>
      </c>
      <c r="P139" s="2">
        <v>66</v>
      </c>
      <c r="Q139" s="2">
        <v>60</v>
      </c>
      <c r="R139" s="2">
        <v>8</v>
      </c>
    </row>
    <row r="140" spans="2:18" ht="9.75" customHeight="1">
      <c r="B140" s="5" t="s">
        <v>66</v>
      </c>
      <c r="C140" s="2">
        <v>51</v>
      </c>
      <c r="D140" s="2">
        <v>824</v>
      </c>
      <c r="E140" s="2">
        <v>42</v>
      </c>
      <c r="F140" s="2">
        <v>848</v>
      </c>
      <c r="G140" s="2">
        <v>22</v>
      </c>
      <c r="H140" s="2">
        <v>56</v>
      </c>
      <c r="I140" s="2">
        <v>16</v>
      </c>
      <c r="J140" s="2">
        <v>48</v>
      </c>
      <c r="K140" s="2">
        <v>131</v>
      </c>
      <c r="L140" s="2">
        <v>125</v>
      </c>
      <c r="M140" s="2">
        <v>2445</v>
      </c>
      <c r="N140" s="2">
        <v>129</v>
      </c>
      <c r="O140" s="2">
        <v>58</v>
      </c>
      <c r="P140" s="2">
        <v>48</v>
      </c>
      <c r="Q140" s="2">
        <v>26</v>
      </c>
      <c r="R140" s="2">
        <v>2</v>
      </c>
    </row>
    <row r="141" spans="2:18" ht="9.75" customHeight="1">
      <c r="B141" s="5" t="s">
        <v>64</v>
      </c>
      <c r="C141" s="2">
        <v>453</v>
      </c>
      <c r="D141" s="2">
        <v>6741</v>
      </c>
      <c r="E141" s="2">
        <v>191</v>
      </c>
      <c r="F141" s="2">
        <v>6971</v>
      </c>
      <c r="G141" s="2">
        <v>192</v>
      </c>
      <c r="H141" s="2">
        <v>184</v>
      </c>
      <c r="I141" s="2">
        <v>212</v>
      </c>
      <c r="J141" s="2">
        <v>244</v>
      </c>
      <c r="K141" s="2">
        <v>572</v>
      </c>
      <c r="L141" s="2">
        <v>469</v>
      </c>
      <c r="M141" s="2">
        <v>17468</v>
      </c>
      <c r="N141" s="2">
        <v>1034</v>
      </c>
      <c r="O141" s="2">
        <v>256</v>
      </c>
      <c r="P141" s="2">
        <v>63</v>
      </c>
      <c r="Q141" s="2">
        <v>78</v>
      </c>
      <c r="R141" s="2">
        <v>22</v>
      </c>
    </row>
    <row r="142" spans="2:18" ht="9.75" customHeight="1">
      <c r="B142" s="5" t="s">
        <v>67</v>
      </c>
      <c r="C142" s="2">
        <v>176</v>
      </c>
      <c r="D142" s="2">
        <v>2700</v>
      </c>
      <c r="E142" s="2">
        <v>81</v>
      </c>
      <c r="F142" s="2">
        <v>2655</v>
      </c>
      <c r="G142" s="2">
        <v>66</v>
      </c>
      <c r="H142" s="2">
        <v>79</v>
      </c>
      <c r="I142" s="2">
        <v>48</v>
      </c>
      <c r="J142" s="2">
        <v>101</v>
      </c>
      <c r="K142" s="2">
        <v>214</v>
      </c>
      <c r="L142" s="2">
        <v>217</v>
      </c>
      <c r="M142" s="2">
        <v>6675</v>
      </c>
      <c r="N142" s="2">
        <v>233</v>
      </c>
      <c r="O142" s="2">
        <v>110</v>
      </c>
      <c r="P142" s="2">
        <v>82</v>
      </c>
      <c r="Q142" s="2">
        <v>55</v>
      </c>
      <c r="R142" s="2">
        <v>7</v>
      </c>
    </row>
    <row r="143" spans="1:18" ht="9.75" customHeight="1">
      <c r="A143" s="3" t="s">
        <v>117</v>
      </c>
      <c r="C143" s="2">
        <v>1329</v>
      </c>
      <c r="D143" s="2">
        <v>17417</v>
      </c>
      <c r="E143" s="2">
        <v>493</v>
      </c>
      <c r="F143" s="2">
        <v>23418</v>
      </c>
      <c r="G143" s="2">
        <v>509</v>
      </c>
      <c r="H143" s="2">
        <v>647</v>
      </c>
      <c r="I143" s="2">
        <v>440</v>
      </c>
      <c r="J143" s="2">
        <v>764</v>
      </c>
      <c r="K143" s="2">
        <v>1731</v>
      </c>
      <c r="L143" s="2">
        <v>1535</v>
      </c>
      <c r="M143" s="2">
        <v>53715</v>
      </c>
      <c r="N143" s="2">
        <v>2632</v>
      </c>
      <c r="O143" s="2">
        <v>755</v>
      </c>
      <c r="P143" s="2">
        <v>409</v>
      </c>
      <c r="Q143" s="2">
        <v>301</v>
      </c>
      <c r="R143" s="2">
        <v>60</v>
      </c>
    </row>
    <row r="144" spans="2:18" s="4" customFormat="1" ht="9.75" customHeight="1">
      <c r="B144" s="6" t="s">
        <v>118</v>
      </c>
      <c r="C144" s="4">
        <f aca="true" t="shared" si="18" ref="C144:J144">C143/45017</f>
        <v>0.02952218050958527</v>
      </c>
      <c r="D144" s="4">
        <f t="shared" si="18"/>
        <v>0.38689828287091543</v>
      </c>
      <c r="E144" s="4">
        <f t="shared" si="18"/>
        <v>0.010951418353066619</v>
      </c>
      <c r="F144" s="4">
        <f t="shared" si="18"/>
        <v>0.5202034786858298</v>
      </c>
      <c r="G144" s="4">
        <f t="shared" si="18"/>
        <v>0.011306839638358842</v>
      </c>
      <c r="H144" s="4">
        <f t="shared" si="18"/>
        <v>0.014372348224004265</v>
      </c>
      <c r="I144" s="4">
        <f t="shared" si="18"/>
        <v>0.009774085345536131</v>
      </c>
      <c r="J144" s="4">
        <f t="shared" si="18"/>
        <v>0.016971366372703644</v>
      </c>
      <c r="K144" s="4">
        <f>K143/59613</f>
        <v>0.02903729052387902</v>
      </c>
      <c r="L144" s="4">
        <f>L143/59613</f>
        <v>0.025749417073457133</v>
      </c>
      <c r="M144" s="4">
        <f>M143/59613</f>
        <v>0.90106184892557</v>
      </c>
      <c r="N144" s="4">
        <f>N143/59613</f>
        <v>0.044151443477093925</v>
      </c>
      <c r="O144" s="4">
        <f>O143/755</f>
        <v>1</v>
      </c>
      <c r="P144" s="4">
        <f>P143/409</f>
        <v>1</v>
      </c>
      <c r="Q144" s="4">
        <f>Q143/301</f>
        <v>1</v>
      </c>
      <c r="R144" s="4">
        <f>R143/60</f>
        <v>1</v>
      </c>
    </row>
    <row r="145" spans="2:18" ht="4.5" customHeight="1"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9.75" customHeight="1">
      <c r="A146" s="3" t="s">
        <v>71</v>
      </c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9.75" customHeight="1">
      <c r="B147" s="5" t="s">
        <v>61</v>
      </c>
      <c r="C147" s="2">
        <v>453</v>
      </c>
      <c r="D147" s="2">
        <v>3690</v>
      </c>
      <c r="E147" s="2">
        <v>81</v>
      </c>
      <c r="F147" s="2">
        <v>6933</v>
      </c>
      <c r="G147" s="2">
        <v>212</v>
      </c>
      <c r="H147" s="2">
        <v>199</v>
      </c>
      <c r="I147" s="2">
        <v>83</v>
      </c>
      <c r="J147" s="2">
        <v>180</v>
      </c>
      <c r="K147" s="2">
        <v>226</v>
      </c>
      <c r="L147" s="2">
        <v>279</v>
      </c>
      <c r="M147" s="2">
        <v>4989</v>
      </c>
      <c r="N147" s="2">
        <v>391</v>
      </c>
      <c r="O147" s="2">
        <v>90</v>
      </c>
      <c r="P147" s="2">
        <v>65</v>
      </c>
      <c r="Q147" s="2">
        <v>33</v>
      </c>
      <c r="R147" s="2">
        <v>20</v>
      </c>
    </row>
    <row r="148" spans="2:18" ht="9.75" customHeight="1">
      <c r="B148" s="5" t="s">
        <v>69</v>
      </c>
      <c r="C148" s="2">
        <v>311</v>
      </c>
      <c r="D148" s="2">
        <v>2436</v>
      </c>
      <c r="E148" s="2">
        <v>80</v>
      </c>
      <c r="F148" s="2">
        <v>3976</v>
      </c>
      <c r="G148" s="2">
        <v>213</v>
      </c>
      <c r="H148" s="2">
        <v>237</v>
      </c>
      <c r="I148" s="2">
        <v>83</v>
      </c>
      <c r="J148" s="2">
        <v>257</v>
      </c>
      <c r="K148" s="2">
        <v>174</v>
      </c>
      <c r="L148" s="2">
        <v>129</v>
      </c>
      <c r="M148" s="2">
        <v>3400</v>
      </c>
      <c r="N148" s="2">
        <v>325</v>
      </c>
      <c r="O148" s="2">
        <v>61</v>
      </c>
      <c r="P148" s="2">
        <v>6</v>
      </c>
      <c r="Q148" s="2">
        <v>10</v>
      </c>
      <c r="R148" s="2">
        <v>5</v>
      </c>
    </row>
    <row r="149" spans="2:18" ht="9.75" customHeight="1">
      <c r="B149" s="5" t="s">
        <v>70</v>
      </c>
      <c r="C149" s="2">
        <v>207</v>
      </c>
      <c r="D149" s="2">
        <v>1614</v>
      </c>
      <c r="E149" s="2">
        <v>72</v>
      </c>
      <c r="F149" s="2">
        <v>3159</v>
      </c>
      <c r="G149" s="2">
        <v>108</v>
      </c>
      <c r="H149" s="2">
        <v>163</v>
      </c>
      <c r="I149" s="2">
        <v>51</v>
      </c>
      <c r="J149" s="2">
        <v>150</v>
      </c>
      <c r="K149" s="2">
        <v>260</v>
      </c>
      <c r="L149" s="2">
        <v>236</v>
      </c>
      <c r="M149" s="2">
        <v>6472</v>
      </c>
      <c r="N149" s="2">
        <v>494</v>
      </c>
      <c r="O149" s="2">
        <v>89</v>
      </c>
      <c r="P149" s="2">
        <v>16</v>
      </c>
      <c r="Q149" s="2">
        <v>19</v>
      </c>
      <c r="R149" s="2">
        <v>0</v>
      </c>
    </row>
    <row r="150" spans="1:18" ht="9.75" customHeight="1">
      <c r="A150" s="3" t="s">
        <v>117</v>
      </c>
      <c r="C150" s="2">
        <v>971</v>
      </c>
      <c r="D150" s="2">
        <v>7740</v>
      </c>
      <c r="E150" s="2">
        <v>233</v>
      </c>
      <c r="F150" s="2">
        <v>14068</v>
      </c>
      <c r="G150" s="2">
        <v>533</v>
      </c>
      <c r="H150" s="2">
        <v>599</v>
      </c>
      <c r="I150" s="2">
        <v>217</v>
      </c>
      <c r="J150" s="2">
        <v>587</v>
      </c>
      <c r="K150" s="2">
        <v>660</v>
      </c>
      <c r="L150" s="2">
        <v>644</v>
      </c>
      <c r="M150" s="2">
        <v>14861</v>
      </c>
      <c r="N150" s="2">
        <v>1210</v>
      </c>
      <c r="O150" s="2">
        <v>240</v>
      </c>
      <c r="P150" s="2">
        <v>87</v>
      </c>
      <c r="Q150" s="2">
        <v>62</v>
      </c>
      <c r="R150" s="2">
        <v>25</v>
      </c>
    </row>
    <row r="151" spans="2:18" s="4" customFormat="1" ht="9.75" customHeight="1">
      <c r="B151" s="6" t="s">
        <v>118</v>
      </c>
      <c r="C151" s="4">
        <f aca="true" t="shared" si="19" ref="C151:J151">C150/24948</f>
        <v>0.03892095558762226</v>
      </c>
      <c r="D151" s="4">
        <f t="shared" si="19"/>
        <v>0.31024531024531027</v>
      </c>
      <c r="E151" s="4">
        <f t="shared" si="19"/>
        <v>0.009339426006092673</v>
      </c>
      <c r="F151" s="4">
        <f t="shared" si="19"/>
        <v>0.5638928972262306</v>
      </c>
      <c r="G151" s="4">
        <f t="shared" si="19"/>
        <v>0.021364438031104698</v>
      </c>
      <c r="H151" s="4">
        <f t="shared" si="19"/>
        <v>0.024009940676607344</v>
      </c>
      <c r="I151" s="4">
        <f t="shared" si="19"/>
        <v>0.008698092031425365</v>
      </c>
      <c r="J151" s="4">
        <f t="shared" si="19"/>
        <v>0.023528940195606862</v>
      </c>
      <c r="K151" s="4">
        <f>K150/17375</f>
        <v>0.03798561151079137</v>
      </c>
      <c r="L151" s="4">
        <f>L150/17375</f>
        <v>0.037064748201438846</v>
      </c>
      <c r="M151" s="4">
        <f>M150/17375</f>
        <v>0.8553093525179856</v>
      </c>
      <c r="N151" s="4">
        <f>N150/17375</f>
        <v>0.06964028776978418</v>
      </c>
      <c r="O151" s="4">
        <f>O150/240</f>
        <v>1</v>
      </c>
      <c r="P151" s="4">
        <f>P150/87</f>
        <v>1</v>
      </c>
      <c r="Q151" s="4">
        <f>Q150/62</f>
        <v>1</v>
      </c>
      <c r="R151" s="4">
        <f>R150/25</f>
        <v>1</v>
      </c>
    </row>
    <row r="152" spans="2:18" ht="4.5" customHeight="1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9.75" customHeight="1">
      <c r="A153" s="3" t="s">
        <v>73</v>
      </c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9.75" customHeight="1">
      <c r="B154" s="5" t="s">
        <v>61</v>
      </c>
      <c r="C154" s="2">
        <v>516</v>
      </c>
      <c r="D154" s="2">
        <v>5000</v>
      </c>
      <c r="E154" s="2">
        <v>180</v>
      </c>
      <c r="F154" s="2">
        <v>9185</v>
      </c>
      <c r="G154" s="2">
        <v>154</v>
      </c>
      <c r="H154" s="2">
        <v>233</v>
      </c>
      <c r="I154" s="2">
        <v>111</v>
      </c>
      <c r="J154" s="2">
        <v>286</v>
      </c>
      <c r="K154" s="2">
        <v>633</v>
      </c>
      <c r="L154" s="2">
        <v>577</v>
      </c>
      <c r="M154" s="2">
        <v>21911</v>
      </c>
      <c r="N154" s="2">
        <v>969</v>
      </c>
      <c r="O154" s="2">
        <v>223</v>
      </c>
      <c r="P154" s="2">
        <v>118</v>
      </c>
      <c r="Q154" s="2">
        <v>86</v>
      </c>
      <c r="R154" s="2">
        <v>15</v>
      </c>
    </row>
    <row r="155" spans="2:18" ht="9.75" customHeight="1">
      <c r="B155" s="5" t="s">
        <v>72</v>
      </c>
      <c r="C155" s="2">
        <v>456</v>
      </c>
      <c r="D155" s="2">
        <v>4700</v>
      </c>
      <c r="E155" s="2">
        <v>216</v>
      </c>
      <c r="F155" s="2">
        <v>8135</v>
      </c>
      <c r="G155" s="2">
        <v>313</v>
      </c>
      <c r="H155" s="2">
        <v>280</v>
      </c>
      <c r="I155" s="2">
        <v>291</v>
      </c>
      <c r="J155" s="2">
        <v>314</v>
      </c>
      <c r="K155" s="2">
        <v>662</v>
      </c>
      <c r="L155" s="2">
        <v>533</v>
      </c>
      <c r="M155" s="2">
        <v>20880</v>
      </c>
      <c r="N155" s="2">
        <v>1018</v>
      </c>
      <c r="O155" s="2">
        <v>289</v>
      </c>
      <c r="P155" s="2">
        <v>124</v>
      </c>
      <c r="Q155" s="2">
        <v>80</v>
      </c>
      <c r="R155" s="2">
        <v>12</v>
      </c>
    </row>
    <row r="156" spans="1:18" ht="9.75" customHeight="1">
      <c r="A156" s="3" t="s">
        <v>117</v>
      </c>
      <c r="C156" s="2">
        <v>972</v>
      </c>
      <c r="D156" s="2">
        <v>9700</v>
      </c>
      <c r="E156" s="2">
        <v>396</v>
      </c>
      <c r="F156" s="2">
        <v>17320</v>
      </c>
      <c r="G156" s="2">
        <v>467</v>
      </c>
      <c r="H156" s="2">
        <v>513</v>
      </c>
      <c r="I156" s="2">
        <v>402</v>
      </c>
      <c r="J156" s="2">
        <v>600</v>
      </c>
      <c r="K156" s="2">
        <v>1295</v>
      </c>
      <c r="L156" s="2">
        <v>1110</v>
      </c>
      <c r="M156" s="2">
        <v>42791</v>
      </c>
      <c r="N156" s="2">
        <v>1987</v>
      </c>
      <c r="O156" s="2">
        <v>512</v>
      </c>
      <c r="P156" s="2">
        <v>242</v>
      </c>
      <c r="Q156" s="2">
        <v>166</v>
      </c>
      <c r="R156" s="2">
        <v>27</v>
      </c>
    </row>
    <row r="157" spans="2:18" s="4" customFormat="1" ht="9.75" customHeight="1">
      <c r="B157" s="6" t="s">
        <v>118</v>
      </c>
      <c r="C157" s="4">
        <f aca="true" t="shared" si="20" ref="C157:J157">C156/30370</f>
        <v>0.03200526835693118</v>
      </c>
      <c r="D157" s="4">
        <f t="shared" si="20"/>
        <v>0.3193941389529141</v>
      </c>
      <c r="E157" s="4">
        <f t="shared" si="20"/>
        <v>0.013039183404675667</v>
      </c>
      <c r="F157" s="4">
        <f t="shared" si="20"/>
        <v>0.570299637800461</v>
      </c>
      <c r="G157" s="4">
        <f t="shared" si="20"/>
        <v>0.015377016792887718</v>
      </c>
      <c r="H157" s="4">
        <f t="shared" si="20"/>
        <v>0.016891669410602567</v>
      </c>
      <c r="I157" s="4">
        <f t="shared" si="20"/>
        <v>0.013236746789594996</v>
      </c>
      <c r="J157" s="4">
        <f t="shared" si="20"/>
        <v>0.01975633849193283</v>
      </c>
      <c r="K157" s="4">
        <f>K156/47183</f>
        <v>0.027446326007248372</v>
      </c>
      <c r="L157" s="4">
        <f>L156/47183</f>
        <v>0.023525422291927178</v>
      </c>
      <c r="M157" s="4">
        <f>M156/47183</f>
        <v>0.9069156263908611</v>
      </c>
      <c r="N157" s="4">
        <f>N156/47183</f>
        <v>0.042112625309963334</v>
      </c>
      <c r="O157" s="4">
        <f>O156/512</f>
        <v>1</v>
      </c>
      <c r="P157" s="4">
        <f>P156/242</f>
        <v>1</v>
      </c>
      <c r="Q157" s="4">
        <f>Q156/166</f>
        <v>1</v>
      </c>
      <c r="R157" s="4">
        <f>R156/27</f>
        <v>1</v>
      </c>
    </row>
    <row r="158" spans="2:18" ht="4.5" customHeight="1"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9.75" customHeight="1">
      <c r="A159" s="3" t="s">
        <v>76</v>
      </c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9.75" customHeight="1">
      <c r="B160" s="5" t="s">
        <v>69</v>
      </c>
      <c r="C160" s="2">
        <v>855</v>
      </c>
      <c r="D160" s="2">
        <v>8841</v>
      </c>
      <c r="E160" s="2">
        <v>456</v>
      </c>
      <c r="F160" s="2">
        <v>13354</v>
      </c>
      <c r="G160" s="2">
        <v>568</v>
      </c>
      <c r="H160" s="2">
        <v>420</v>
      </c>
      <c r="I160" s="2">
        <v>283</v>
      </c>
      <c r="J160" s="2">
        <v>704</v>
      </c>
      <c r="K160" s="2">
        <v>1804</v>
      </c>
      <c r="L160" s="2">
        <v>1566</v>
      </c>
      <c r="M160" s="2">
        <v>49310</v>
      </c>
      <c r="N160" s="2">
        <v>1933</v>
      </c>
      <c r="O160" s="2">
        <v>696</v>
      </c>
      <c r="P160" s="2">
        <v>171</v>
      </c>
      <c r="Q160" s="2">
        <v>282</v>
      </c>
      <c r="R160" s="2">
        <v>26</v>
      </c>
    </row>
    <row r="161" spans="2:18" ht="9.75" customHeight="1">
      <c r="B161" s="5" t="s">
        <v>74</v>
      </c>
      <c r="C161" s="2">
        <v>92</v>
      </c>
      <c r="D161" s="2">
        <v>1230</v>
      </c>
      <c r="E161" s="2">
        <v>61</v>
      </c>
      <c r="F161" s="2">
        <v>1159</v>
      </c>
      <c r="G161" s="2">
        <v>26</v>
      </c>
      <c r="H161" s="2">
        <v>45</v>
      </c>
      <c r="I161" s="2">
        <v>26</v>
      </c>
      <c r="J161" s="2">
        <v>83</v>
      </c>
      <c r="K161" s="2">
        <v>210</v>
      </c>
      <c r="L161" s="2">
        <v>156</v>
      </c>
      <c r="M161" s="2">
        <v>4361</v>
      </c>
      <c r="N161" s="2">
        <v>166</v>
      </c>
      <c r="O161" s="2">
        <v>78</v>
      </c>
      <c r="P161" s="2">
        <v>17</v>
      </c>
      <c r="Q161" s="2">
        <v>25</v>
      </c>
      <c r="R161" s="2">
        <v>3</v>
      </c>
    </row>
    <row r="162" spans="2:18" ht="9.75" customHeight="1">
      <c r="B162" s="5" t="s">
        <v>75</v>
      </c>
      <c r="C162" s="2">
        <v>279</v>
      </c>
      <c r="D162" s="2">
        <v>4580</v>
      </c>
      <c r="E162" s="2">
        <v>100</v>
      </c>
      <c r="F162" s="2">
        <v>4308</v>
      </c>
      <c r="G162" s="2">
        <v>128</v>
      </c>
      <c r="H162" s="2">
        <v>178</v>
      </c>
      <c r="I162" s="2">
        <v>62</v>
      </c>
      <c r="J162" s="2">
        <v>182</v>
      </c>
      <c r="K162" s="2">
        <v>620</v>
      </c>
      <c r="L162" s="2">
        <v>476</v>
      </c>
      <c r="M162" s="2">
        <v>14975</v>
      </c>
      <c r="N162" s="2">
        <v>595</v>
      </c>
      <c r="O162" s="2">
        <v>185</v>
      </c>
      <c r="P162" s="2">
        <v>212</v>
      </c>
      <c r="Q162" s="2">
        <v>111</v>
      </c>
      <c r="R162" s="2">
        <v>10</v>
      </c>
    </row>
    <row r="163" spans="1:18" ht="9.75" customHeight="1">
      <c r="A163" s="3" t="s">
        <v>117</v>
      </c>
      <c r="C163" s="2">
        <v>1226</v>
      </c>
      <c r="D163" s="2">
        <v>14651</v>
      </c>
      <c r="E163" s="2">
        <v>617</v>
      </c>
      <c r="F163" s="2">
        <v>18821</v>
      </c>
      <c r="G163" s="2">
        <v>722</v>
      </c>
      <c r="H163" s="2">
        <v>643</v>
      </c>
      <c r="I163" s="2">
        <v>371</v>
      </c>
      <c r="J163" s="2">
        <v>969</v>
      </c>
      <c r="K163" s="2">
        <v>2634</v>
      </c>
      <c r="L163" s="2">
        <v>2198</v>
      </c>
      <c r="M163" s="2">
        <v>68646</v>
      </c>
      <c r="N163" s="2">
        <v>2694</v>
      </c>
      <c r="O163" s="2">
        <v>959</v>
      </c>
      <c r="P163" s="2">
        <v>400</v>
      </c>
      <c r="Q163" s="2">
        <v>418</v>
      </c>
      <c r="R163" s="2">
        <v>39</v>
      </c>
    </row>
    <row r="164" spans="2:18" s="4" customFormat="1" ht="9.75" customHeight="1">
      <c r="B164" s="6" t="s">
        <v>118</v>
      </c>
      <c r="C164" s="4">
        <f aca="true" t="shared" si="21" ref="C164:J164">C163/38020</f>
        <v>0.032246186217780116</v>
      </c>
      <c r="D164" s="4">
        <f t="shared" si="21"/>
        <v>0.38534981588637557</v>
      </c>
      <c r="E164" s="4">
        <f t="shared" si="21"/>
        <v>0.016228300894266176</v>
      </c>
      <c r="F164" s="4">
        <f t="shared" si="21"/>
        <v>0.49502893214097843</v>
      </c>
      <c r="G164" s="4">
        <f t="shared" si="21"/>
        <v>0.01899000526038927</v>
      </c>
      <c r="H164" s="4">
        <f t="shared" si="21"/>
        <v>0.01691215149921094</v>
      </c>
      <c r="I164" s="4">
        <f t="shared" si="21"/>
        <v>0.00975802209363493</v>
      </c>
      <c r="J164" s="4">
        <f t="shared" si="21"/>
        <v>0.025486586007364545</v>
      </c>
      <c r="K164" s="4">
        <f>K163/76172</f>
        <v>0.034579635561623696</v>
      </c>
      <c r="L164" s="4">
        <f>L163/76172</f>
        <v>0.028855747518773303</v>
      </c>
      <c r="M164" s="4">
        <f>M163/76172</f>
        <v>0.9011972903429082</v>
      </c>
      <c r="N164" s="4">
        <f>N163/76172</f>
        <v>0.03536732657669485</v>
      </c>
      <c r="O164" s="4">
        <f>O163/959</f>
        <v>1</v>
      </c>
      <c r="P164" s="4">
        <f>P163/400</f>
        <v>1</v>
      </c>
      <c r="Q164" s="4">
        <f>Q163/418</f>
        <v>1</v>
      </c>
      <c r="R164" s="4">
        <f>R163/39</f>
        <v>1</v>
      </c>
    </row>
    <row r="165" spans="2:18" ht="4.5" customHeight="1"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9.75" customHeight="1">
      <c r="A166" s="3" t="s">
        <v>79</v>
      </c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9.75" customHeight="1">
      <c r="B167" s="5" t="s">
        <v>75</v>
      </c>
      <c r="C167" s="2">
        <v>338</v>
      </c>
      <c r="D167" s="2">
        <v>7556</v>
      </c>
      <c r="E167" s="2">
        <v>115</v>
      </c>
      <c r="F167" s="2">
        <v>5999</v>
      </c>
      <c r="G167" s="2">
        <v>126</v>
      </c>
      <c r="H167" s="2">
        <v>183</v>
      </c>
      <c r="I167" s="2">
        <v>78</v>
      </c>
      <c r="J167" s="2">
        <v>195</v>
      </c>
      <c r="K167" s="2">
        <v>476</v>
      </c>
      <c r="L167" s="2">
        <v>375</v>
      </c>
      <c r="M167" s="2">
        <v>12043</v>
      </c>
      <c r="N167" s="2">
        <v>457</v>
      </c>
      <c r="O167" s="2">
        <v>170</v>
      </c>
      <c r="P167" s="2">
        <v>412</v>
      </c>
      <c r="Q167" s="2">
        <v>151</v>
      </c>
      <c r="R167" s="2">
        <v>20</v>
      </c>
    </row>
    <row r="168" spans="2:18" ht="9.75" customHeight="1">
      <c r="B168" s="5" t="s">
        <v>77</v>
      </c>
      <c r="C168" s="2">
        <v>784</v>
      </c>
      <c r="D168" s="2">
        <v>14159</v>
      </c>
      <c r="E168" s="2">
        <v>258</v>
      </c>
      <c r="F168" s="2">
        <v>11341</v>
      </c>
      <c r="G168" s="2">
        <v>350</v>
      </c>
      <c r="H168" s="2">
        <v>454</v>
      </c>
      <c r="I168" s="2">
        <v>253</v>
      </c>
      <c r="J168" s="2">
        <v>457</v>
      </c>
      <c r="K168" s="2">
        <v>590</v>
      </c>
      <c r="L168" s="2">
        <v>589</v>
      </c>
      <c r="M168" s="2">
        <v>19985</v>
      </c>
      <c r="N168" s="2">
        <v>671</v>
      </c>
      <c r="O168" s="2">
        <v>227</v>
      </c>
      <c r="P168" s="2">
        <v>584</v>
      </c>
      <c r="Q168" s="2">
        <v>187</v>
      </c>
      <c r="R168" s="2">
        <v>32</v>
      </c>
    </row>
    <row r="169" spans="2:18" ht="9.75" customHeight="1">
      <c r="B169" s="5" t="s">
        <v>78</v>
      </c>
      <c r="C169" s="2">
        <v>414</v>
      </c>
      <c r="D169" s="2">
        <v>6271</v>
      </c>
      <c r="E169" s="2">
        <v>148</v>
      </c>
      <c r="F169" s="2">
        <v>5143</v>
      </c>
      <c r="G169" s="2">
        <v>205</v>
      </c>
      <c r="H169" s="2">
        <v>198</v>
      </c>
      <c r="I169" s="2">
        <v>121</v>
      </c>
      <c r="J169" s="2">
        <v>221</v>
      </c>
      <c r="K169" s="2">
        <v>284</v>
      </c>
      <c r="L169" s="2">
        <v>281</v>
      </c>
      <c r="M169" s="2">
        <v>6186</v>
      </c>
      <c r="N169" s="2">
        <v>316</v>
      </c>
      <c r="O169" s="2">
        <v>142</v>
      </c>
      <c r="P169" s="2">
        <v>110</v>
      </c>
      <c r="Q169" s="2">
        <v>70</v>
      </c>
      <c r="R169" s="2">
        <v>26</v>
      </c>
    </row>
    <row r="170" spans="1:18" ht="9.75" customHeight="1">
      <c r="A170" s="3" t="s">
        <v>117</v>
      </c>
      <c r="C170" s="2">
        <v>1536</v>
      </c>
      <c r="D170" s="2">
        <v>27986</v>
      </c>
      <c r="E170" s="2">
        <v>521</v>
      </c>
      <c r="F170" s="2">
        <v>22483</v>
      </c>
      <c r="G170" s="2">
        <v>681</v>
      </c>
      <c r="H170" s="2">
        <v>835</v>
      </c>
      <c r="I170" s="2">
        <v>452</v>
      </c>
      <c r="J170" s="2">
        <v>873</v>
      </c>
      <c r="K170" s="2">
        <v>1350</v>
      </c>
      <c r="L170" s="2">
        <v>1245</v>
      </c>
      <c r="M170" s="2">
        <v>38214</v>
      </c>
      <c r="N170" s="2">
        <v>1444</v>
      </c>
      <c r="O170" s="2">
        <v>539</v>
      </c>
      <c r="P170" s="2">
        <v>1106</v>
      </c>
      <c r="Q170" s="2">
        <v>408</v>
      </c>
      <c r="R170" s="2">
        <v>78</v>
      </c>
    </row>
    <row r="171" spans="2:18" s="4" customFormat="1" ht="9.75" customHeight="1">
      <c r="B171" s="6" t="s">
        <v>118</v>
      </c>
      <c r="C171" s="4">
        <f aca="true" t="shared" si="22" ref="C171:J171">C170/55367</f>
        <v>0.027742156880452253</v>
      </c>
      <c r="D171" s="4">
        <f t="shared" si="22"/>
        <v>0.5054635432658443</v>
      </c>
      <c r="E171" s="4">
        <f t="shared" si="22"/>
        <v>0.009409937327288818</v>
      </c>
      <c r="F171" s="4">
        <f t="shared" si="22"/>
        <v>0.4060722090776094</v>
      </c>
      <c r="G171" s="4">
        <f t="shared" si="22"/>
        <v>0.012299745335669262</v>
      </c>
      <c r="H171" s="4">
        <f t="shared" si="22"/>
        <v>0.015081185543735437</v>
      </c>
      <c r="I171" s="4">
        <f t="shared" si="22"/>
        <v>0.008163707623674752</v>
      </c>
      <c r="J171" s="4">
        <f t="shared" si="22"/>
        <v>0.015767514945725793</v>
      </c>
      <c r="K171" s="4">
        <f>K170/42253</f>
        <v>0.03195039405486001</v>
      </c>
      <c r="L171" s="4">
        <f>L170/42253</f>
        <v>0.029465363406148675</v>
      </c>
      <c r="M171" s="4">
        <f>M170/42253</f>
        <v>0.9044091543795707</v>
      </c>
      <c r="N171" s="4">
        <f>N170/42253</f>
        <v>0.034175088159420636</v>
      </c>
      <c r="O171" s="4">
        <f>O170/539</f>
        <v>1</v>
      </c>
      <c r="P171" s="4">
        <f>P170/1106</f>
        <v>1</v>
      </c>
      <c r="Q171" s="4">
        <f>Q170/408</f>
        <v>1</v>
      </c>
      <c r="R171" s="4">
        <f>R170/78</f>
        <v>1</v>
      </c>
    </row>
    <row r="172" spans="2:18" ht="4.5" customHeight="1"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9.75" customHeight="1">
      <c r="A173" s="3" t="s">
        <v>80</v>
      </c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9.75" customHeight="1">
      <c r="B174" s="5" t="s">
        <v>77</v>
      </c>
      <c r="C174" s="2">
        <v>276</v>
      </c>
      <c r="D174" s="2">
        <v>4143</v>
      </c>
      <c r="E174" s="2">
        <v>145</v>
      </c>
      <c r="F174" s="2">
        <v>3668</v>
      </c>
      <c r="G174" s="2">
        <v>139</v>
      </c>
      <c r="H174" s="2">
        <v>146</v>
      </c>
      <c r="I174" s="2">
        <v>92</v>
      </c>
      <c r="J174" s="2">
        <v>237</v>
      </c>
      <c r="K174" s="2">
        <v>503</v>
      </c>
      <c r="L174" s="2">
        <v>439</v>
      </c>
      <c r="M174" s="2">
        <v>13391</v>
      </c>
      <c r="N174" s="2">
        <v>593</v>
      </c>
      <c r="O174" s="2">
        <v>182</v>
      </c>
      <c r="P174" s="2">
        <v>108</v>
      </c>
      <c r="Q174" s="2">
        <v>76</v>
      </c>
      <c r="R174" s="2">
        <v>13</v>
      </c>
    </row>
    <row r="175" spans="2:18" ht="9.75" customHeight="1">
      <c r="B175" s="5" t="s">
        <v>78</v>
      </c>
      <c r="C175" s="2">
        <v>808</v>
      </c>
      <c r="D175" s="2">
        <v>19783</v>
      </c>
      <c r="E175" s="2">
        <v>481</v>
      </c>
      <c r="F175" s="2">
        <v>16082</v>
      </c>
      <c r="G175" s="2">
        <v>431</v>
      </c>
      <c r="H175" s="2">
        <v>599</v>
      </c>
      <c r="I175" s="2">
        <v>304</v>
      </c>
      <c r="J175" s="2">
        <v>753</v>
      </c>
      <c r="K175" s="2">
        <v>1452</v>
      </c>
      <c r="L175" s="2">
        <v>1486</v>
      </c>
      <c r="M175" s="2">
        <v>45084</v>
      </c>
      <c r="N175" s="2">
        <v>1658</v>
      </c>
      <c r="O175" s="2">
        <v>522</v>
      </c>
      <c r="P175" s="2">
        <v>453</v>
      </c>
      <c r="Q175" s="2">
        <v>359</v>
      </c>
      <c r="R175" s="2">
        <v>45</v>
      </c>
    </row>
    <row r="176" spans="1:18" ht="9.75" customHeight="1">
      <c r="A176" s="3" t="s">
        <v>117</v>
      </c>
      <c r="C176" s="2">
        <v>1084</v>
      </c>
      <c r="D176" s="2">
        <v>23926</v>
      </c>
      <c r="E176" s="2">
        <v>626</v>
      </c>
      <c r="F176" s="2">
        <v>19750</v>
      </c>
      <c r="G176" s="2">
        <v>570</v>
      </c>
      <c r="H176" s="2">
        <v>745</v>
      </c>
      <c r="I176" s="2">
        <v>396</v>
      </c>
      <c r="J176" s="2">
        <v>990</v>
      </c>
      <c r="K176" s="2">
        <v>1955</v>
      </c>
      <c r="L176" s="2">
        <v>1925</v>
      </c>
      <c r="M176" s="2">
        <v>58475</v>
      </c>
      <c r="N176" s="2">
        <v>2251</v>
      </c>
      <c r="O176" s="2">
        <v>704</v>
      </c>
      <c r="P176" s="2">
        <v>561</v>
      </c>
      <c r="Q176" s="2">
        <v>435</v>
      </c>
      <c r="R176" s="2">
        <v>58</v>
      </c>
    </row>
    <row r="177" spans="2:18" s="4" customFormat="1" ht="9.75" customHeight="1">
      <c r="B177" s="6" t="s">
        <v>118</v>
      </c>
      <c r="C177" s="4">
        <f aca="true" t="shared" si="23" ref="C177:J177">C176/48087</f>
        <v>0.022542475097219624</v>
      </c>
      <c r="D177" s="4">
        <f t="shared" si="23"/>
        <v>0.4975565121550523</v>
      </c>
      <c r="E177" s="4">
        <f t="shared" si="23"/>
        <v>0.013018071412231996</v>
      </c>
      <c r="F177" s="4">
        <f t="shared" si="23"/>
        <v>0.4107139143635494</v>
      </c>
      <c r="G177" s="4">
        <f t="shared" si="23"/>
        <v>0.011853515503150539</v>
      </c>
      <c r="H177" s="4">
        <f t="shared" si="23"/>
        <v>0.015492752719030091</v>
      </c>
      <c r="I177" s="4">
        <f t="shared" si="23"/>
        <v>0.008235073928504585</v>
      </c>
      <c r="J177" s="4">
        <f t="shared" si="23"/>
        <v>0.020587684821261464</v>
      </c>
      <c r="K177" s="4">
        <f>K176/64606</f>
        <v>0.030260347336160728</v>
      </c>
      <c r="L177" s="4">
        <f>L176/64606</f>
        <v>0.029795994180107113</v>
      </c>
      <c r="M177" s="4">
        <f>M176/64606</f>
        <v>0.9051016933411757</v>
      </c>
      <c r="N177" s="4">
        <f>N176/64606</f>
        <v>0.03484196514255642</v>
      </c>
      <c r="O177" s="4">
        <f>O176/704</f>
        <v>1</v>
      </c>
      <c r="P177" s="4">
        <f>P176/561</f>
        <v>1</v>
      </c>
      <c r="Q177" s="4">
        <f>Q176/435</f>
        <v>1</v>
      </c>
      <c r="R177" s="4">
        <f>R176/58</f>
        <v>1</v>
      </c>
    </row>
    <row r="178" spans="2:18" ht="4.5" customHeight="1"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9.75" customHeight="1">
      <c r="A179" s="3" t="s">
        <v>84</v>
      </c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ht="9.75" customHeight="1">
      <c r="B180" s="5" t="s">
        <v>81</v>
      </c>
      <c r="C180" s="2">
        <v>73</v>
      </c>
      <c r="D180" s="2">
        <v>710</v>
      </c>
      <c r="E180" s="2">
        <v>33</v>
      </c>
      <c r="F180" s="2">
        <v>749</v>
      </c>
      <c r="G180" s="2">
        <v>19</v>
      </c>
      <c r="H180" s="2">
        <v>39</v>
      </c>
      <c r="I180" s="2">
        <v>39</v>
      </c>
      <c r="J180" s="2">
        <v>54</v>
      </c>
      <c r="K180" s="2">
        <v>174</v>
      </c>
      <c r="L180" s="2">
        <v>125</v>
      </c>
      <c r="M180" s="2">
        <v>2137</v>
      </c>
      <c r="N180" s="2">
        <v>147</v>
      </c>
      <c r="O180" s="2">
        <v>71</v>
      </c>
      <c r="P180" s="2">
        <v>37</v>
      </c>
      <c r="Q180" s="2">
        <v>27</v>
      </c>
      <c r="R180" s="2">
        <v>6</v>
      </c>
    </row>
    <row r="181" spans="2:18" ht="9.75" customHeight="1">
      <c r="B181" s="5" t="s">
        <v>74</v>
      </c>
      <c r="C181" s="2">
        <v>621</v>
      </c>
      <c r="D181" s="2">
        <v>8686</v>
      </c>
      <c r="E181" s="2">
        <v>292</v>
      </c>
      <c r="F181" s="2">
        <v>8523</v>
      </c>
      <c r="G181" s="2">
        <v>243</v>
      </c>
      <c r="H181" s="2">
        <v>355</v>
      </c>
      <c r="I181" s="2">
        <v>180</v>
      </c>
      <c r="J181" s="2">
        <v>463</v>
      </c>
      <c r="K181" s="2">
        <v>1014</v>
      </c>
      <c r="L181" s="2">
        <v>813</v>
      </c>
      <c r="M181" s="2">
        <v>25003</v>
      </c>
      <c r="N181" s="2">
        <v>920</v>
      </c>
      <c r="O181" s="2">
        <v>368</v>
      </c>
      <c r="P181" s="2">
        <v>103</v>
      </c>
      <c r="Q181" s="2">
        <v>193</v>
      </c>
      <c r="R181" s="2">
        <v>11</v>
      </c>
    </row>
    <row r="182" spans="2:18" ht="9.75" customHeight="1">
      <c r="B182" s="5" t="s">
        <v>82</v>
      </c>
      <c r="C182" s="2">
        <v>47</v>
      </c>
      <c r="D182" s="2">
        <v>472</v>
      </c>
      <c r="E182" s="2">
        <v>19</v>
      </c>
      <c r="F182" s="2">
        <v>412</v>
      </c>
      <c r="G182" s="2">
        <v>17</v>
      </c>
      <c r="H182" s="2">
        <v>22</v>
      </c>
      <c r="I182" s="2">
        <v>16</v>
      </c>
      <c r="J182" s="2">
        <v>41</v>
      </c>
      <c r="K182" s="2">
        <v>77</v>
      </c>
      <c r="L182" s="2">
        <v>65</v>
      </c>
      <c r="M182" s="2">
        <v>1172</v>
      </c>
      <c r="N182" s="2">
        <v>70</v>
      </c>
      <c r="O182" s="2">
        <v>29</v>
      </c>
      <c r="P182" s="2">
        <v>23</v>
      </c>
      <c r="Q182" s="2">
        <v>19</v>
      </c>
      <c r="R182" s="2">
        <v>3</v>
      </c>
    </row>
    <row r="183" spans="2:18" ht="9.75" customHeight="1">
      <c r="B183" s="5" t="s">
        <v>83</v>
      </c>
      <c r="C183" s="2">
        <v>307</v>
      </c>
      <c r="D183" s="2">
        <v>3110</v>
      </c>
      <c r="E183" s="2">
        <v>129</v>
      </c>
      <c r="F183" s="2">
        <v>2746</v>
      </c>
      <c r="G183" s="2">
        <v>94</v>
      </c>
      <c r="H183" s="2">
        <v>122</v>
      </c>
      <c r="I183" s="2">
        <v>84</v>
      </c>
      <c r="J183" s="2">
        <v>167</v>
      </c>
      <c r="K183" s="2">
        <v>383</v>
      </c>
      <c r="L183" s="2">
        <v>246</v>
      </c>
      <c r="M183" s="2">
        <v>6892</v>
      </c>
      <c r="N183" s="2">
        <v>297</v>
      </c>
      <c r="O183" s="2">
        <v>211</v>
      </c>
      <c r="P183" s="2">
        <v>22</v>
      </c>
      <c r="Q183" s="2">
        <v>71</v>
      </c>
      <c r="R183" s="2">
        <v>9</v>
      </c>
    </row>
    <row r="184" spans="1:18" ht="9.75" customHeight="1">
      <c r="A184" s="3" t="s">
        <v>117</v>
      </c>
      <c r="C184" s="2">
        <v>1048</v>
      </c>
      <c r="D184" s="2">
        <v>12978</v>
      </c>
      <c r="E184" s="2">
        <v>473</v>
      </c>
      <c r="F184" s="2">
        <v>12430</v>
      </c>
      <c r="G184" s="2">
        <v>373</v>
      </c>
      <c r="H184" s="2">
        <v>538</v>
      </c>
      <c r="I184" s="2">
        <v>319</v>
      </c>
      <c r="J184" s="2">
        <v>725</v>
      </c>
      <c r="K184" s="2">
        <v>1648</v>
      </c>
      <c r="L184" s="2">
        <v>1249</v>
      </c>
      <c r="M184" s="2">
        <v>35204</v>
      </c>
      <c r="N184" s="2">
        <v>1434</v>
      </c>
      <c r="O184" s="2">
        <v>679</v>
      </c>
      <c r="P184" s="2">
        <v>185</v>
      </c>
      <c r="Q184" s="2">
        <v>310</v>
      </c>
      <c r="R184" s="2">
        <v>29</v>
      </c>
    </row>
    <row r="185" spans="2:18" s="4" customFormat="1" ht="9.75" customHeight="1">
      <c r="B185" s="6" t="s">
        <v>118</v>
      </c>
      <c r="C185" s="4">
        <f aca="true" t="shared" si="24" ref="C185:J185">C184/28884</f>
        <v>0.03628306328763329</v>
      </c>
      <c r="D185" s="4">
        <f t="shared" si="24"/>
        <v>0.4493144993768176</v>
      </c>
      <c r="E185" s="4">
        <f t="shared" si="24"/>
        <v>0.01637584822046808</v>
      </c>
      <c r="F185" s="4">
        <f t="shared" si="24"/>
        <v>0.4303420578867193</v>
      </c>
      <c r="G185" s="4">
        <f t="shared" si="24"/>
        <v>0.012913723860961086</v>
      </c>
      <c r="H185" s="4">
        <f t="shared" si="24"/>
        <v>0.018626229054147625</v>
      </c>
      <c r="I185" s="4">
        <f t="shared" si="24"/>
        <v>0.01104417670682731</v>
      </c>
      <c r="J185" s="4">
        <f t="shared" si="24"/>
        <v>0.025100401606425703</v>
      </c>
      <c r="K185" s="4">
        <f>K184/39535</f>
        <v>0.04168458328063741</v>
      </c>
      <c r="L185" s="4">
        <f>L184/39535</f>
        <v>0.03159226002276464</v>
      </c>
      <c r="M185" s="4">
        <f>M184/39535</f>
        <v>0.8904514986720627</v>
      </c>
      <c r="N185" s="4">
        <f>N184/39535</f>
        <v>0.03627165802453522</v>
      </c>
      <c r="O185" s="4">
        <f>O184/679</f>
        <v>1</v>
      </c>
      <c r="P185" s="4">
        <f>P184/185</f>
        <v>1</v>
      </c>
      <c r="Q185" s="4">
        <f>Q184/310</f>
        <v>1</v>
      </c>
      <c r="R185" s="4">
        <f>R184/29</f>
        <v>1</v>
      </c>
    </row>
    <row r="186" spans="2:18" ht="4.5" customHeight="1"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9.75" customHeight="1">
      <c r="A187" s="3" t="s">
        <v>85</v>
      </c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ht="9.75" customHeight="1">
      <c r="B188" s="5" t="s">
        <v>74</v>
      </c>
      <c r="C188" s="2">
        <v>454</v>
      </c>
      <c r="D188" s="2">
        <v>12450</v>
      </c>
      <c r="E188" s="2">
        <v>349</v>
      </c>
      <c r="F188" s="2">
        <v>9419</v>
      </c>
      <c r="G188" s="2">
        <v>236</v>
      </c>
      <c r="H188" s="2">
        <v>296</v>
      </c>
      <c r="I188" s="2">
        <v>237</v>
      </c>
      <c r="J188" s="2">
        <v>373</v>
      </c>
      <c r="K188" s="2">
        <v>937</v>
      </c>
      <c r="L188" s="2">
        <v>954</v>
      </c>
      <c r="M188" s="2">
        <v>27950</v>
      </c>
      <c r="N188" s="2">
        <v>1044</v>
      </c>
      <c r="O188" s="2">
        <v>264</v>
      </c>
      <c r="P188" s="2">
        <v>233</v>
      </c>
      <c r="Q188" s="2">
        <v>191</v>
      </c>
      <c r="R188" s="2">
        <v>25</v>
      </c>
    </row>
    <row r="189" spans="2:18" ht="9.75" customHeight="1">
      <c r="B189" s="5" t="s">
        <v>83</v>
      </c>
      <c r="C189" s="2">
        <v>295</v>
      </c>
      <c r="D189" s="2">
        <v>5387</v>
      </c>
      <c r="E189" s="2">
        <v>138</v>
      </c>
      <c r="F189" s="2">
        <v>4717</v>
      </c>
      <c r="G189" s="2">
        <v>189</v>
      </c>
      <c r="H189" s="2">
        <v>156</v>
      </c>
      <c r="I189" s="2">
        <v>102</v>
      </c>
      <c r="J189" s="2">
        <v>212</v>
      </c>
      <c r="K189" s="2">
        <v>527</v>
      </c>
      <c r="L189" s="2">
        <v>508</v>
      </c>
      <c r="M189" s="2">
        <v>13790</v>
      </c>
      <c r="N189" s="2">
        <v>593</v>
      </c>
      <c r="O189" s="2">
        <v>157</v>
      </c>
      <c r="P189" s="2">
        <v>101</v>
      </c>
      <c r="Q189" s="2">
        <v>104</v>
      </c>
      <c r="R189" s="2">
        <v>19</v>
      </c>
    </row>
    <row r="190" spans="1:18" ht="9.75" customHeight="1">
      <c r="A190" s="3" t="s">
        <v>117</v>
      </c>
      <c r="C190" s="2">
        <v>749</v>
      </c>
      <c r="D190" s="2">
        <v>17837</v>
      </c>
      <c r="E190" s="2">
        <v>487</v>
      </c>
      <c r="F190" s="2">
        <v>14136</v>
      </c>
      <c r="G190" s="2">
        <v>425</v>
      </c>
      <c r="H190" s="2">
        <v>452</v>
      </c>
      <c r="I190" s="2">
        <v>339</v>
      </c>
      <c r="J190" s="2">
        <v>585</v>
      </c>
      <c r="K190" s="2">
        <v>1464</v>
      </c>
      <c r="L190" s="2">
        <v>1462</v>
      </c>
      <c r="M190" s="2">
        <v>41740</v>
      </c>
      <c r="N190" s="2">
        <v>1637</v>
      </c>
      <c r="O190" s="2">
        <v>421</v>
      </c>
      <c r="P190" s="2">
        <v>334</v>
      </c>
      <c r="Q190" s="2">
        <v>295</v>
      </c>
      <c r="R190" s="2">
        <v>44</v>
      </c>
    </row>
    <row r="191" spans="2:18" s="4" customFormat="1" ht="9.75" customHeight="1">
      <c r="B191" s="6" t="s">
        <v>118</v>
      </c>
      <c r="C191" s="4">
        <f aca="true" t="shared" si="25" ref="C191:J191">C190/35010</f>
        <v>0.021393887460725507</v>
      </c>
      <c r="D191" s="4">
        <f t="shared" si="25"/>
        <v>0.5094830048557555</v>
      </c>
      <c r="E191" s="4">
        <f t="shared" si="25"/>
        <v>0.013910311339617253</v>
      </c>
      <c r="F191" s="4">
        <f t="shared" si="25"/>
        <v>0.40377035132819195</v>
      </c>
      <c r="G191" s="4">
        <f t="shared" si="25"/>
        <v>0.01213938874607255</v>
      </c>
      <c r="H191" s="4">
        <f t="shared" si="25"/>
        <v>0.012910596972293631</v>
      </c>
      <c r="I191" s="4">
        <f t="shared" si="25"/>
        <v>0.009682947729220223</v>
      </c>
      <c r="J191" s="4">
        <f t="shared" si="25"/>
        <v>0.016709511568123392</v>
      </c>
      <c r="K191" s="4">
        <f>K190/46303</f>
        <v>0.03161782173941213</v>
      </c>
      <c r="L191" s="4">
        <f>L190/46303</f>
        <v>0.03157462799386649</v>
      </c>
      <c r="M191" s="4">
        <f>M190/46303</f>
        <v>0.901453469537611</v>
      </c>
      <c r="N191" s="4">
        <f>N190/46303</f>
        <v>0.03535408072911043</v>
      </c>
      <c r="O191" s="4">
        <f>O190/421</f>
        <v>1</v>
      </c>
      <c r="P191" s="4">
        <f>P190/334</f>
        <v>1</v>
      </c>
      <c r="Q191" s="4">
        <f>Q190/295</f>
        <v>1</v>
      </c>
      <c r="R191" s="4">
        <f>R190/44</f>
        <v>1</v>
      </c>
    </row>
    <row r="192" spans="2:18" ht="4.5" customHeight="1"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9.75" customHeight="1">
      <c r="A193" s="3" t="s">
        <v>86</v>
      </c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ht="9.75" customHeight="1">
      <c r="B194" s="5" t="s">
        <v>74</v>
      </c>
      <c r="C194" s="2">
        <v>928</v>
      </c>
      <c r="D194" s="2">
        <v>18928</v>
      </c>
      <c r="E194" s="2">
        <v>432</v>
      </c>
      <c r="F194" s="2">
        <v>17977</v>
      </c>
      <c r="G194" s="2">
        <v>601</v>
      </c>
      <c r="H194" s="2">
        <v>556</v>
      </c>
      <c r="I194" s="2">
        <v>392</v>
      </c>
      <c r="J194" s="2">
        <v>716</v>
      </c>
      <c r="K194" s="2">
        <v>863</v>
      </c>
      <c r="L194" s="2">
        <v>738</v>
      </c>
      <c r="M194" s="2">
        <v>19957</v>
      </c>
      <c r="N194" s="2">
        <v>734</v>
      </c>
      <c r="O194" s="2">
        <v>354</v>
      </c>
      <c r="P194" s="2">
        <v>287</v>
      </c>
      <c r="Q194" s="2">
        <v>242</v>
      </c>
      <c r="R194" s="2">
        <v>61</v>
      </c>
    </row>
    <row r="195" spans="1:18" ht="9.75" customHeight="1">
      <c r="A195" s="3" t="s">
        <v>117</v>
      </c>
      <c r="C195" s="2">
        <v>928</v>
      </c>
      <c r="D195" s="2">
        <v>18928</v>
      </c>
      <c r="E195" s="2">
        <v>432</v>
      </c>
      <c r="F195" s="2">
        <v>17977</v>
      </c>
      <c r="G195" s="2">
        <v>601</v>
      </c>
      <c r="H195" s="2">
        <v>556</v>
      </c>
      <c r="I195" s="2">
        <v>392</v>
      </c>
      <c r="J195" s="2">
        <v>716</v>
      </c>
      <c r="K195" s="2">
        <v>863</v>
      </c>
      <c r="L195" s="2">
        <v>738</v>
      </c>
      <c r="M195" s="2">
        <v>19957</v>
      </c>
      <c r="N195" s="2">
        <v>734</v>
      </c>
      <c r="O195" s="2">
        <v>354</v>
      </c>
      <c r="P195" s="2">
        <v>287</v>
      </c>
      <c r="Q195" s="2">
        <v>242</v>
      </c>
      <c r="R195" s="2">
        <v>61</v>
      </c>
    </row>
    <row r="196" spans="2:18" s="4" customFormat="1" ht="9.75" customHeight="1">
      <c r="B196" s="6" t="s">
        <v>118</v>
      </c>
      <c r="C196" s="4">
        <f aca="true" t="shared" si="26" ref="C196:J196">C195/40530</f>
        <v>0.022896619787811497</v>
      </c>
      <c r="D196" s="4">
        <f t="shared" si="26"/>
        <v>0.4670120898100173</v>
      </c>
      <c r="E196" s="4">
        <f t="shared" si="26"/>
        <v>0.010658771280532938</v>
      </c>
      <c r="F196" s="4">
        <f t="shared" si="26"/>
        <v>0.4435479891438441</v>
      </c>
      <c r="G196" s="4">
        <f t="shared" si="26"/>
        <v>0.014828522082408093</v>
      </c>
      <c r="H196" s="4">
        <f t="shared" si="26"/>
        <v>0.013718233407352579</v>
      </c>
      <c r="I196" s="4">
        <f t="shared" si="26"/>
        <v>0.009671848013816925</v>
      </c>
      <c r="J196" s="4">
        <f t="shared" si="26"/>
        <v>0.01766592647421663</v>
      </c>
      <c r="K196" s="4">
        <f>K195/22292</f>
        <v>0.038713439799031045</v>
      </c>
      <c r="L196" s="4">
        <f>L195/22292</f>
        <v>0.03310604701238112</v>
      </c>
      <c r="M196" s="4">
        <f>M195/22292</f>
        <v>0.8952539027453795</v>
      </c>
      <c r="N196" s="4">
        <f>N195/22292</f>
        <v>0.032926610443208326</v>
      </c>
      <c r="O196" s="4">
        <f>O195/354</f>
        <v>1</v>
      </c>
      <c r="P196" s="4">
        <f>P195/287</f>
        <v>1</v>
      </c>
      <c r="Q196" s="4">
        <f>Q195/242</f>
        <v>1</v>
      </c>
      <c r="R196" s="4">
        <f>R195/61</f>
        <v>1</v>
      </c>
    </row>
    <row r="197" spans="2:18" ht="4.5" customHeight="1"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9.75" customHeight="1">
      <c r="A198" s="3" t="s">
        <v>87</v>
      </c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ht="9.75" customHeight="1">
      <c r="B199" s="5" t="s">
        <v>74</v>
      </c>
      <c r="C199" s="2">
        <v>999</v>
      </c>
      <c r="D199" s="2">
        <v>18799</v>
      </c>
      <c r="E199" s="2">
        <v>303</v>
      </c>
      <c r="F199" s="2">
        <v>18941</v>
      </c>
      <c r="G199" s="2">
        <v>582</v>
      </c>
      <c r="H199" s="2">
        <v>402</v>
      </c>
      <c r="I199" s="2">
        <v>366</v>
      </c>
      <c r="J199" s="2">
        <v>584</v>
      </c>
      <c r="K199" s="2">
        <v>494</v>
      </c>
      <c r="L199" s="2">
        <v>507</v>
      </c>
      <c r="M199" s="2">
        <v>9859</v>
      </c>
      <c r="N199" s="2">
        <v>445</v>
      </c>
      <c r="O199" s="2">
        <v>295</v>
      </c>
      <c r="P199" s="2">
        <v>190</v>
      </c>
      <c r="Q199" s="2">
        <v>158</v>
      </c>
      <c r="R199" s="2">
        <v>44</v>
      </c>
    </row>
    <row r="200" spans="1:18" ht="9.75" customHeight="1">
      <c r="A200" s="3" t="s">
        <v>117</v>
      </c>
      <c r="C200" s="2">
        <v>999</v>
      </c>
      <c r="D200" s="2">
        <v>18799</v>
      </c>
      <c r="E200" s="2">
        <v>303</v>
      </c>
      <c r="F200" s="2">
        <v>18941</v>
      </c>
      <c r="G200" s="2">
        <v>582</v>
      </c>
      <c r="H200" s="2">
        <v>402</v>
      </c>
      <c r="I200" s="2">
        <v>366</v>
      </c>
      <c r="J200" s="2">
        <v>584</v>
      </c>
      <c r="K200" s="2">
        <v>494</v>
      </c>
      <c r="L200" s="2">
        <v>507</v>
      </c>
      <c r="M200" s="2">
        <v>9859</v>
      </c>
      <c r="N200" s="2">
        <v>445</v>
      </c>
      <c r="O200" s="2">
        <v>295</v>
      </c>
      <c r="P200" s="2">
        <v>190</v>
      </c>
      <c r="Q200" s="2">
        <v>158</v>
      </c>
      <c r="R200" s="2">
        <v>44</v>
      </c>
    </row>
    <row r="201" spans="2:18" s="4" customFormat="1" ht="9.75" customHeight="1">
      <c r="B201" s="6" t="s">
        <v>118</v>
      </c>
      <c r="C201" s="4">
        <f aca="true" t="shared" si="27" ref="C201:J201">C200/40976</f>
        <v>0.02438012495119094</v>
      </c>
      <c r="D201" s="4">
        <f t="shared" si="27"/>
        <v>0.45878074970714566</v>
      </c>
      <c r="E201" s="4">
        <f t="shared" si="27"/>
        <v>0.007394572432643499</v>
      </c>
      <c r="F201" s="4">
        <f t="shared" si="27"/>
        <v>0.462246192893401</v>
      </c>
      <c r="G201" s="4">
        <f t="shared" si="27"/>
        <v>0.014203436157750878</v>
      </c>
      <c r="H201" s="4">
        <f t="shared" si="27"/>
        <v>0.009810620851229988</v>
      </c>
      <c r="I201" s="4">
        <f t="shared" si="27"/>
        <v>0.00893205778992581</v>
      </c>
      <c r="J201" s="4">
        <f t="shared" si="27"/>
        <v>0.014252245216712221</v>
      </c>
      <c r="K201" s="4">
        <f>K200/11305</f>
        <v>0.043697478991596636</v>
      </c>
      <c r="L201" s="4">
        <f>L200/11305</f>
        <v>0.04484741264927023</v>
      </c>
      <c r="M201" s="4">
        <f>M200/11305</f>
        <v>0.8720919946926139</v>
      </c>
      <c r="N201" s="4">
        <f>N200/11305</f>
        <v>0.03936311366651924</v>
      </c>
      <c r="O201" s="4">
        <f>O200/295</f>
        <v>1</v>
      </c>
      <c r="P201" s="4">
        <f>P200/190</f>
        <v>1</v>
      </c>
      <c r="Q201" s="4">
        <f>Q200/158</f>
        <v>1</v>
      </c>
      <c r="R201" s="4">
        <f>R200/44</f>
        <v>1</v>
      </c>
    </row>
    <row r="202" spans="2:18" ht="4.5" customHeight="1">
      <c r="B202" s="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9.75" customHeight="1">
      <c r="A203" s="3" t="s">
        <v>88</v>
      </c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9.75" customHeight="1">
      <c r="B204" s="5" t="s">
        <v>74</v>
      </c>
      <c r="C204" s="2">
        <v>972</v>
      </c>
      <c r="D204" s="2">
        <v>20827</v>
      </c>
      <c r="E204" s="2">
        <v>448</v>
      </c>
      <c r="F204" s="2">
        <v>17237</v>
      </c>
      <c r="G204" s="2">
        <v>490</v>
      </c>
      <c r="H204" s="2">
        <v>512</v>
      </c>
      <c r="I204" s="2">
        <v>406</v>
      </c>
      <c r="J204" s="2">
        <v>604</v>
      </c>
      <c r="K204" s="2">
        <v>880</v>
      </c>
      <c r="L204" s="2">
        <v>814</v>
      </c>
      <c r="M204" s="2">
        <v>21079</v>
      </c>
      <c r="N204" s="2">
        <v>874</v>
      </c>
      <c r="O204" s="2">
        <v>304</v>
      </c>
      <c r="P204" s="2">
        <v>422</v>
      </c>
      <c r="Q204" s="2">
        <v>205</v>
      </c>
      <c r="R204" s="2">
        <v>60</v>
      </c>
    </row>
    <row r="205" spans="1:18" ht="9.75" customHeight="1">
      <c r="A205" s="3" t="s">
        <v>117</v>
      </c>
      <c r="C205" s="2">
        <v>972</v>
      </c>
      <c r="D205" s="2">
        <v>20827</v>
      </c>
      <c r="E205" s="2">
        <v>448</v>
      </c>
      <c r="F205" s="2">
        <v>17237</v>
      </c>
      <c r="G205" s="2">
        <v>490</v>
      </c>
      <c r="H205" s="2">
        <v>512</v>
      </c>
      <c r="I205" s="2">
        <v>406</v>
      </c>
      <c r="J205" s="2">
        <v>604</v>
      </c>
      <c r="K205" s="2">
        <v>880</v>
      </c>
      <c r="L205" s="2">
        <v>814</v>
      </c>
      <c r="M205" s="2">
        <v>21079</v>
      </c>
      <c r="N205" s="2">
        <v>874</v>
      </c>
      <c r="O205" s="2">
        <v>304</v>
      </c>
      <c r="P205" s="2">
        <v>422</v>
      </c>
      <c r="Q205" s="2">
        <v>205</v>
      </c>
      <c r="R205" s="2">
        <v>60</v>
      </c>
    </row>
    <row r="206" spans="2:18" s="4" customFormat="1" ht="9.75" customHeight="1">
      <c r="B206" s="6" t="s">
        <v>118</v>
      </c>
      <c r="C206" s="4">
        <f aca="true" t="shared" si="28" ref="C206:J206">C205/41496</f>
        <v>0.023423944476576055</v>
      </c>
      <c r="D206" s="4">
        <f t="shared" si="28"/>
        <v>0.5019037979564296</v>
      </c>
      <c r="E206" s="4">
        <f t="shared" si="28"/>
        <v>0.010796221322537112</v>
      </c>
      <c r="F206" s="4">
        <f t="shared" si="28"/>
        <v>0.41538943512627724</v>
      </c>
      <c r="G206" s="4">
        <f t="shared" si="28"/>
        <v>0.011808367071524967</v>
      </c>
      <c r="H206" s="4">
        <f t="shared" si="28"/>
        <v>0.012338538654328128</v>
      </c>
      <c r="I206" s="4">
        <f t="shared" si="28"/>
        <v>0.009784075573549258</v>
      </c>
      <c r="J206" s="4">
        <f t="shared" si="28"/>
        <v>0.014555619818777713</v>
      </c>
      <c r="K206" s="4">
        <f>K205/23647</f>
        <v>0.037214022920455024</v>
      </c>
      <c r="L206" s="4">
        <f>L205/23647</f>
        <v>0.0344229712014209</v>
      </c>
      <c r="M206" s="4">
        <f>M205/23647</f>
        <v>0.8914027149321267</v>
      </c>
      <c r="N206" s="4">
        <f>N205/23647</f>
        <v>0.03696029094599738</v>
      </c>
      <c r="O206" s="4">
        <f>O205/304</f>
        <v>1</v>
      </c>
      <c r="P206" s="4">
        <f>P205/422</f>
        <v>1</v>
      </c>
      <c r="Q206" s="4">
        <f>Q205/205</f>
        <v>1</v>
      </c>
      <c r="R206" s="4">
        <f>R205/60</f>
        <v>1</v>
      </c>
    </row>
    <row r="207" spans="2:18" ht="4.5" customHeight="1">
      <c r="B207" s="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9.75" customHeight="1">
      <c r="A208" s="3" t="s">
        <v>89</v>
      </c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ht="9.75" customHeight="1">
      <c r="B209" s="5" t="s">
        <v>74</v>
      </c>
      <c r="C209" s="2">
        <v>881</v>
      </c>
      <c r="D209" s="2">
        <v>36591</v>
      </c>
      <c r="E209" s="2">
        <v>419</v>
      </c>
      <c r="F209" s="2">
        <v>26363</v>
      </c>
      <c r="G209" s="2">
        <v>482</v>
      </c>
      <c r="H209" s="2">
        <v>652</v>
      </c>
      <c r="I209" s="2">
        <v>482</v>
      </c>
      <c r="J209" s="2">
        <v>619</v>
      </c>
      <c r="K209" s="2">
        <v>870</v>
      </c>
      <c r="L209" s="2">
        <v>736</v>
      </c>
      <c r="M209" s="2">
        <v>24734</v>
      </c>
      <c r="N209" s="2">
        <v>691</v>
      </c>
      <c r="O209" s="2">
        <v>353</v>
      </c>
      <c r="P209" s="2">
        <v>501</v>
      </c>
      <c r="Q209" s="2">
        <v>292</v>
      </c>
      <c r="R209" s="2">
        <v>66</v>
      </c>
    </row>
    <row r="210" spans="1:18" ht="9.75" customHeight="1">
      <c r="A210" s="3" t="s">
        <v>117</v>
      </c>
      <c r="C210" s="2">
        <v>881</v>
      </c>
      <c r="D210" s="2">
        <v>36591</v>
      </c>
      <c r="E210" s="2">
        <v>419</v>
      </c>
      <c r="F210" s="2">
        <v>26363</v>
      </c>
      <c r="G210" s="2">
        <v>482</v>
      </c>
      <c r="H210" s="2">
        <v>652</v>
      </c>
      <c r="I210" s="2">
        <v>482</v>
      </c>
      <c r="J210" s="2">
        <v>619</v>
      </c>
      <c r="K210" s="2">
        <v>870</v>
      </c>
      <c r="L210" s="2">
        <v>736</v>
      </c>
      <c r="M210" s="2">
        <v>24734</v>
      </c>
      <c r="N210" s="2">
        <v>691</v>
      </c>
      <c r="O210" s="2">
        <v>353</v>
      </c>
      <c r="P210" s="2">
        <v>501</v>
      </c>
      <c r="Q210" s="2">
        <v>292</v>
      </c>
      <c r="R210" s="2">
        <v>66</v>
      </c>
    </row>
    <row r="211" spans="2:18" s="4" customFormat="1" ht="9.75" customHeight="1">
      <c r="B211" s="6" t="s">
        <v>118</v>
      </c>
      <c r="C211" s="4">
        <f aca="true" t="shared" si="29" ref="C211:J211">C210/66489</f>
        <v>0.013250312081697725</v>
      </c>
      <c r="D211" s="4">
        <f t="shared" si="29"/>
        <v>0.5503316338040879</v>
      </c>
      <c r="E211" s="4">
        <f t="shared" si="29"/>
        <v>0.006301794281760893</v>
      </c>
      <c r="F211" s="4">
        <f t="shared" si="29"/>
        <v>0.3965016769691227</v>
      </c>
      <c r="G211" s="4">
        <f t="shared" si="29"/>
        <v>0.007249319436297734</v>
      </c>
      <c r="H211" s="4">
        <f t="shared" si="29"/>
        <v>0.0098061333453654</v>
      </c>
      <c r="I211" s="4">
        <f t="shared" si="29"/>
        <v>0.007249319436297734</v>
      </c>
      <c r="J211" s="4">
        <f t="shared" si="29"/>
        <v>0.00930981064536991</v>
      </c>
      <c r="K211" s="4">
        <f>K210/27031</f>
        <v>0.03218526876549147</v>
      </c>
      <c r="L211" s="4">
        <f>L210/27031</f>
        <v>0.027227997484369798</v>
      </c>
      <c r="M211" s="4">
        <f>M210/27031</f>
        <v>0.9150234915467427</v>
      </c>
      <c r="N211" s="4">
        <f>N210/27031</f>
        <v>0.025563242203396102</v>
      </c>
      <c r="O211" s="4">
        <f>O210/353</f>
        <v>1</v>
      </c>
      <c r="P211" s="4">
        <f>P210/501</f>
        <v>1</v>
      </c>
      <c r="Q211" s="4">
        <f>Q210/292</f>
        <v>1</v>
      </c>
      <c r="R211" s="4">
        <f>R210/66</f>
        <v>1</v>
      </c>
    </row>
    <row r="212" spans="2:18" ht="4.5" customHeight="1"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9.75" customHeight="1">
      <c r="A213" s="3" t="s">
        <v>90</v>
      </c>
      <c r="B213" s="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ht="9.75" customHeight="1">
      <c r="B214" s="5" t="s">
        <v>74</v>
      </c>
      <c r="C214" s="2">
        <v>967</v>
      </c>
      <c r="D214" s="2">
        <v>13400</v>
      </c>
      <c r="E214" s="2">
        <v>200</v>
      </c>
      <c r="F214" s="2">
        <v>14608</v>
      </c>
      <c r="G214" s="2">
        <v>511</v>
      </c>
      <c r="H214" s="2">
        <v>440</v>
      </c>
      <c r="I214" s="2">
        <v>256</v>
      </c>
      <c r="J214" s="2">
        <v>669</v>
      </c>
      <c r="K214" s="2">
        <v>410</v>
      </c>
      <c r="L214" s="2">
        <v>330</v>
      </c>
      <c r="M214" s="2">
        <v>4221</v>
      </c>
      <c r="N214" s="2">
        <v>462</v>
      </c>
      <c r="O214" s="2">
        <v>211</v>
      </c>
      <c r="P214" s="2">
        <v>336</v>
      </c>
      <c r="Q214" s="2">
        <v>93</v>
      </c>
      <c r="R214" s="2">
        <v>80</v>
      </c>
    </row>
    <row r="215" spans="1:18" ht="9.75" customHeight="1">
      <c r="A215" s="3" t="s">
        <v>117</v>
      </c>
      <c r="C215" s="2">
        <v>967</v>
      </c>
      <c r="D215" s="2">
        <v>13400</v>
      </c>
      <c r="E215" s="2">
        <v>200</v>
      </c>
      <c r="F215" s="2">
        <v>14608</v>
      </c>
      <c r="G215" s="2">
        <v>511</v>
      </c>
      <c r="H215" s="2">
        <v>440</v>
      </c>
      <c r="I215" s="2">
        <v>256</v>
      </c>
      <c r="J215" s="2">
        <v>669</v>
      </c>
      <c r="K215" s="2">
        <v>410</v>
      </c>
      <c r="L215" s="2">
        <v>330</v>
      </c>
      <c r="M215" s="2">
        <v>4221</v>
      </c>
      <c r="N215" s="2">
        <v>462</v>
      </c>
      <c r="O215" s="2">
        <v>211</v>
      </c>
      <c r="P215" s="2">
        <v>336</v>
      </c>
      <c r="Q215" s="2">
        <v>93</v>
      </c>
      <c r="R215" s="2">
        <v>80</v>
      </c>
    </row>
    <row r="216" spans="2:18" s="4" customFormat="1" ht="9.75" customHeight="1">
      <c r="B216" s="6" t="s">
        <v>118</v>
      </c>
      <c r="C216" s="4">
        <f aca="true" t="shared" si="30" ref="C216:J216">C215/31051</f>
        <v>0.031142314257189784</v>
      </c>
      <c r="D216" s="4">
        <f t="shared" si="30"/>
        <v>0.43154809828991014</v>
      </c>
      <c r="E216" s="4">
        <f t="shared" si="30"/>
        <v>0.0064410163923867185</v>
      </c>
      <c r="F216" s="4">
        <f t="shared" si="30"/>
        <v>0.4704518372999259</v>
      </c>
      <c r="G216" s="4">
        <f t="shared" si="30"/>
        <v>0.016456796882548065</v>
      </c>
      <c r="H216" s="4">
        <f t="shared" si="30"/>
        <v>0.01417023606325078</v>
      </c>
      <c r="I216" s="4">
        <f t="shared" si="30"/>
        <v>0.008244500982255</v>
      </c>
      <c r="J216" s="4">
        <f t="shared" si="30"/>
        <v>0.021545199832533574</v>
      </c>
      <c r="K216" s="4">
        <f>K215/5423</f>
        <v>0.07560390927530887</v>
      </c>
      <c r="L216" s="4">
        <f>L215/5423</f>
        <v>0.060851926977687626</v>
      </c>
      <c r="M216" s="4">
        <f>M215/5423</f>
        <v>0.7783514659782408</v>
      </c>
      <c r="N216" s="4">
        <f>N215/5423</f>
        <v>0.08519269776876268</v>
      </c>
      <c r="O216" s="4">
        <f>O215/211</f>
        <v>1</v>
      </c>
      <c r="P216" s="4">
        <f>P215/336</f>
        <v>1</v>
      </c>
      <c r="Q216" s="4">
        <f>Q215/93</f>
        <v>1</v>
      </c>
      <c r="R216" s="4">
        <f>R215/80</f>
        <v>1</v>
      </c>
    </row>
    <row r="217" spans="2:18" ht="4.5" customHeight="1"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9.75" customHeight="1">
      <c r="A218" s="3" t="s">
        <v>91</v>
      </c>
      <c r="B218" s="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ht="9.75" customHeight="1">
      <c r="B219" s="5" t="s">
        <v>74</v>
      </c>
      <c r="C219" s="2">
        <v>983</v>
      </c>
      <c r="D219" s="2">
        <v>15737</v>
      </c>
      <c r="E219" s="2">
        <v>363</v>
      </c>
      <c r="F219" s="2">
        <v>13561</v>
      </c>
      <c r="G219" s="2">
        <v>589</v>
      </c>
      <c r="H219" s="2">
        <v>455</v>
      </c>
      <c r="I219" s="2">
        <v>400</v>
      </c>
      <c r="J219" s="2">
        <v>652</v>
      </c>
      <c r="K219" s="2">
        <v>718</v>
      </c>
      <c r="L219" s="2">
        <v>646</v>
      </c>
      <c r="M219" s="2">
        <v>10348</v>
      </c>
      <c r="N219" s="2">
        <v>748</v>
      </c>
      <c r="O219" s="2">
        <v>312</v>
      </c>
      <c r="P219" s="2">
        <v>91</v>
      </c>
      <c r="Q219" s="2">
        <v>97</v>
      </c>
      <c r="R219" s="2">
        <v>66</v>
      </c>
    </row>
    <row r="220" spans="1:18" ht="9.75" customHeight="1">
      <c r="A220" s="3" t="s">
        <v>117</v>
      </c>
      <c r="C220" s="2">
        <v>983</v>
      </c>
      <c r="D220" s="2">
        <v>15737</v>
      </c>
      <c r="E220" s="2">
        <v>363</v>
      </c>
      <c r="F220" s="2">
        <v>13561</v>
      </c>
      <c r="G220" s="2">
        <v>589</v>
      </c>
      <c r="H220" s="2">
        <v>455</v>
      </c>
      <c r="I220" s="2">
        <v>400</v>
      </c>
      <c r="J220" s="2">
        <v>652</v>
      </c>
      <c r="K220" s="2">
        <v>718</v>
      </c>
      <c r="L220" s="2">
        <v>646</v>
      </c>
      <c r="M220" s="2">
        <v>10348</v>
      </c>
      <c r="N220" s="2">
        <v>748</v>
      </c>
      <c r="O220" s="2">
        <v>312</v>
      </c>
      <c r="P220" s="2">
        <v>91</v>
      </c>
      <c r="Q220" s="2">
        <v>97</v>
      </c>
      <c r="R220" s="2">
        <v>66</v>
      </c>
    </row>
    <row r="221" spans="2:18" s="4" customFormat="1" ht="9.75" customHeight="1">
      <c r="B221" s="6" t="s">
        <v>118</v>
      </c>
      <c r="C221" s="4">
        <f aca="true" t="shared" si="31" ref="C221:J221">C220/32740</f>
        <v>0.030024434941967014</v>
      </c>
      <c r="D221" s="4">
        <f t="shared" si="31"/>
        <v>0.4806658521686011</v>
      </c>
      <c r="E221" s="4">
        <f t="shared" si="31"/>
        <v>0.01108735491753207</v>
      </c>
      <c r="F221" s="4">
        <f t="shared" si="31"/>
        <v>0.4142028100183262</v>
      </c>
      <c r="G221" s="4">
        <f t="shared" si="31"/>
        <v>0.017990226023213193</v>
      </c>
      <c r="H221" s="4">
        <f t="shared" si="31"/>
        <v>0.013897373243738546</v>
      </c>
      <c r="I221" s="4">
        <f t="shared" si="31"/>
        <v>0.012217470983506415</v>
      </c>
      <c r="J221" s="4">
        <f t="shared" si="31"/>
        <v>0.019914477703115455</v>
      </c>
      <c r="K221" s="4">
        <f>K220/12460</f>
        <v>0.05762439807383628</v>
      </c>
      <c r="L221" s="4">
        <f>L220/12460</f>
        <v>0.05184590690208668</v>
      </c>
      <c r="M221" s="4">
        <f>M220/12460</f>
        <v>0.8304975922953451</v>
      </c>
      <c r="N221" s="4">
        <f>N220/12460</f>
        <v>0.06003210272873194</v>
      </c>
      <c r="O221" s="4">
        <f>O220/312</f>
        <v>1</v>
      </c>
      <c r="P221" s="4">
        <f>P220/91</f>
        <v>1</v>
      </c>
      <c r="Q221" s="4">
        <f>Q220/97</f>
        <v>1</v>
      </c>
      <c r="R221" s="4">
        <f>R220/66</f>
        <v>1</v>
      </c>
    </row>
    <row r="222" spans="2:18" ht="4.5" customHeight="1"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9.75" customHeight="1">
      <c r="A223" s="3" t="s">
        <v>92</v>
      </c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ht="9.75" customHeight="1">
      <c r="B224" s="5" t="s">
        <v>74</v>
      </c>
      <c r="C224" s="2">
        <v>1025</v>
      </c>
      <c r="D224" s="2">
        <v>28786</v>
      </c>
      <c r="E224" s="2">
        <v>257</v>
      </c>
      <c r="F224" s="2">
        <v>22700</v>
      </c>
      <c r="G224" s="2">
        <v>563</v>
      </c>
      <c r="H224" s="2">
        <v>405</v>
      </c>
      <c r="I224" s="2">
        <v>285</v>
      </c>
      <c r="J224" s="2">
        <v>450</v>
      </c>
      <c r="K224" s="2">
        <v>382</v>
      </c>
      <c r="L224" s="2">
        <v>373</v>
      </c>
      <c r="M224" s="2">
        <v>5897</v>
      </c>
      <c r="N224" s="2">
        <v>377</v>
      </c>
      <c r="O224" s="2">
        <v>248</v>
      </c>
      <c r="P224" s="2">
        <v>311</v>
      </c>
      <c r="Q224" s="2">
        <v>129</v>
      </c>
      <c r="R224" s="2">
        <v>60</v>
      </c>
    </row>
    <row r="225" spans="1:18" ht="9.75" customHeight="1">
      <c r="A225" s="3" t="s">
        <v>117</v>
      </c>
      <c r="C225" s="2">
        <v>1025</v>
      </c>
      <c r="D225" s="2">
        <v>28786</v>
      </c>
      <c r="E225" s="2">
        <v>257</v>
      </c>
      <c r="F225" s="2">
        <v>22700</v>
      </c>
      <c r="G225" s="2">
        <v>563</v>
      </c>
      <c r="H225" s="2">
        <v>405</v>
      </c>
      <c r="I225" s="2">
        <v>285</v>
      </c>
      <c r="J225" s="2">
        <v>450</v>
      </c>
      <c r="K225" s="2">
        <v>382</v>
      </c>
      <c r="L225" s="2">
        <v>373</v>
      </c>
      <c r="M225" s="2">
        <v>5897</v>
      </c>
      <c r="N225" s="2">
        <v>377</v>
      </c>
      <c r="O225" s="2">
        <v>248</v>
      </c>
      <c r="P225" s="2">
        <v>311</v>
      </c>
      <c r="Q225" s="2">
        <v>129</v>
      </c>
      <c r="R225" s="2">
        <v>60</v>
      </c>
    </row>
    <row r="226" spans="2:18" s="4" customFormat="1" ht="9.75" customHeight="1">
      <c r="B226" s="6" t="s">
        <v>118</v>
      </c>
      <c r="C226" s="4">
        <f aca="true" t="shared" si="32" ref="C226:J226">C225/54471</f>
        <v>0.018817352352628002</v>
      </c>
      <c r="D226" s="4">
        <f t="shared" si="32"/>
        <v>0.528464687631951</v>
      </c>
      <c r="E226" s="4">
        <f t="shared" si="32"/>
        <v>0.004718106882561363</v>
      </c>
      <c r="F226" s="4">
        <f t="shared" si="32"/>
        <v>0.41673551063868847</v>
      </c>
      <c r="G226" s="4">
        <f t="shared" si="32"/>
        <v>0.010335774999541041</v>
      </c>
      <c r="H226" s="4">
        <f t="shared" si="32"/>
        <v>0.007435148978355456</v>
      </c>
      <c r="I226" s="4">
        <f t="shared" si="32"/>
        <v>0.005232141873657542</v>
      </c>
      <c r="J226" s="4">
        <f t="shared" si="32"/>
        <v>0.008261276642617173</v>
      </c>
      <c r="K226" s="4">
        <f>K225/7029</f>
        <v>0.054346279698392376</v>
      </c>
      <c r="L226" s="4">
        <f>L225/7029</f>
        <v>0.05306586996727842</v>
      </c>
      <c r="M226" s="4">
        <f>M225/7029</f>
        <v>0.8389529093754445</v>
      </c>
      <c r="N226" s="4">
        <f>N225/7029</f>
        <v>0.053634940958884623</v>
      </c>
      <c r="O226" s="4">
        <f>O225/248</f>
        <v>1</v>
      </c>
      <c r="P226" s="4">
        <f>P225/311</f>
        <v>1</v>
      </c>
      <c r="Q226" s="4">
        <f>Q225/129</f>
        <v>1</v>
      </c>
      <c r="R226" s="4">
        <f>R225/60</f>
        <v>1</v>
      </c>
    </row>
    <row r="227" spans="2:18" ht="4.5" customHeight="1"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9.75" customHeight="1">
      <c r="A228" s="3" t="s">
        <v>93</v>
      </c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ht="9.75" customHeight="1">
      <c r="B229" s="5" t="s">
        <v>74</v>
      </c>
      <c r="C229" s="2">
        <v>761</v>
      </c>
      <c r="D229" s="2">
        <v>10276</v>
      </c>
      <c r="E229" s="2">
        <v>214</v>
      </c>
      <c r="F229" s="2">
        <v>11696</v>
      </c>
      <c r="G229" s="2">
        <v>429</v>
      </c>
      <c r="H229" s="2">
        <v>478</v>
      </c>
      <c r="I229" s="2">
        <v>358</v>
      </c>
      <c r="J229" s="2">
        <v>490</v>
      </c>
      <c r="K229" s="2">
        <v>449</v>
      </c>
      <c r="L229" s="2">
        <v>396</v>
      </c>
      <c r="M229" s="2">
        <v>5671</v>
      </c>
      <c r="N229" s="2">
        <v>619</v>
      </c>
      <c r="O229" s="2">
        <v>170</v>
      </c>
      <c r="P229" s="2">
        <v>70</v>
      </c>
      <c r="Q229" s="2">
        <v>56</v>
      </c>
      <c r="R229" s="2">
        <v>54</v>
      </c>
    </row>
    <row r="230" spans="1:18" ht="9.75" customHeight="1">
      <c r="A230" s="3" t="s">
        <v>117</v>
      </c>
      <c r="C230" s="2">
        <v>761</v>
      </c>
      <c r="D230" s="2">
        <v>10276</v>
      </c>
      <c r="E230" s="2">
        <v>214</v>
      </c>
      <c r="F230" s="2">
        <v>11696</v>
      </c>
      <c r="G230" s="2">
        <v>429</v>
      </c>
      <c r="H230" s="2">
        <v>478</v>
      </c>
      <c r="I230" s="2">
        <v>358</v>
      </c>
      <c r="J230" s="2">
        <v>490</v>
      </c>
      <c r="K230" s="2">
        <v>449</v>
      </c>
      <c r="L230" s="2">
        <v>396</v>
      </c>
      <c r="M230" s="2">
        <v>5671</v>
      </c>
      <c r="N230" s="2">
        <v>619</v>
      </c>
      <c r="O230" s="2">
        <v>170</v>
      </c>
      <c r="P230" s="2">
        <v>70</v>
      </c>
      <c r="Q230" s="2">
        <v>56</v>
      </c>
      <c r="R230" s="2">
        <v>54</v>
      </c>
    </row>
    <row r="231" spans="2:18" s="4" customFormat="1" ht="9.75" customHeight="1">
      <c r="B231" s="6" t="s">
        <v>118</v>
      </c>
      <c r="C231" s="4">
        <f aca="true" t="shared" si="33" ref="C231:J231">C230/24702</f>
        <v>0.030807222087280383</v>
      </c>
      <c r="D231" s="4">
        <f t="shared" si="33"/>
        <v>0.4159987045583354</v>
      </c>
      <c r="E231" s="4">
        <f t="shared" si="33"/>
        <v>0.00866326613229698</v>
      </c>
      <c r="F231" s="4">
        <f t="shared" si="33"/>
        <v>0.47348392842684806</v>
      </c>
      <c r="G231" s="4">
        <f t="shared" si="33"/>
        <v>0.01736701481661404</v>
      </c>
      <c r="H231" s="4">
        <f t="shared" si="33"/>
        <v>0.019350659865597926</v>
      </c>
      <c r="I231" s="4">
        <f t="shared" si="33"/>
        <v>0.014492753623188406</v>
      </c>
      <c r="J231" s="4">
        <f t="shared" si="33"/>
        <v>0.01983645048983888</v>
      </c>
      <c r="K231" s="4">
        <f>K230/7135</f>
        <v>0.0629292221443588</v>
      </c>
      <c r="L231" s="4">
        <f>L230/7135</f>
        <v>0.0555010511562719</v>
      </c>
      <c r="M231" s="4">
        <f>M230/7135</f>
        <v>0.7948142957252978</v>
      </c>
      <c r="N231" s="4">
        <f>N230/7135</f>
        <v>0.08675543097407148</v>
      </c>
      <c r="O231" s="4">
        <f>O230/170</f>
        <v>1</v>
      </c>
      <c r="P231" s="4">
        <f>P230/70</f>
        <v>1</v>
      </c>
      <c r="Q231" s="4">
        <f>Q230/56</f>
        <v>1</v>
      </c>
      <c r="R231" s="4">
        <f>R230/54</f>
        <v>1</v>
      </c>
    </row>
    <row r="232" spans="2:18" ht="4.5" customHeight="1"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9.75" customHeight="1">
      <c r="A233" s="3" t="s">
        <v>94</v>
      </c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2:18" ht="9.75" customHeight="1">
      <c r="B234" s="5" t="s">
        <v>74</v>
      </c>
      <c r="C234" s="2">
        <v>1087</v>
      </c>
      <c r="D234" s="2">
        <v>22098</v>
      </c>
      <c r="E234" s="2">
        <v>329</v>
      </c>
      <c r="F234" s="2">
        <v>15754</v>
      </c>
      <c r="G234" s="2">
        <v>481</v>
      </c>
      <c r="H234" s="2">
        <v>403</v>
      </c>
      <c r="I234" s="2">
        <v>336</v>
      </c>
      <c r="J234" s="2">
        <v>591</v>
      </c>
      <c r="K234" s="2">
        <v>344</v>
      </c>
      <c r="L234" s="2">
        <v>402</v>
      </c>
      <c r="M234" s="2">
        <v>5874</v>
      </c>
      <c r="N234" s="2">
        <v>426</v>
      </c>
      <c r="O234" s="2">
        <v>195</v>
      </c>
      <c r="P234" s="2">
        <v>97</v>
      </c>
      <c r="Q234" s="2">
        <v>83</v>
      </c>
      <c r="R234" s="2">
        <v>31</v>
      </c>
    </row>
    <row r="235" spans="1:18" ht="9.75" customHeight="1">
      <c r="A235" s="3" t="s">
        <v>117</v>
      </c>
      <c r="C235" s="2">
        <v>1087</v>
      </c>
      <c r="D235" s="2">
        <v>22098</v>
      </c>
      <c r="E235" s="2">
        <v>329</v>
      </c>
      <c r="F235" s="2">
        <v>15754</v>
      </c>
      <c r="G235" s="2">
        <v>481</v>
      </c>
      <c r="H235" s="2">
        <v>403</v>
      </c>
      <c r="I235" s="2">
        <v>336</v>
      </c>
      <c r="J235" s="2">
        <v>591</v>
      </c>
      <c r="K235" s="2">
        <v>344</v>
      </c>
      <c r="L235" s="2">
        <v>402</v>
      </c>
      <c r="M235" s="2">
        <v>5874</v>
      </c>
      <c r="N235" s="2">
        <v>426</v>
      </c>
      <c r="O235" s="2">
        <v>195</v>
      </c>
      <c r="P235" s="2">
        <v>97</v>
      </c>
      <c r="Q235" s="2">
        <v>83</v>
      </c>
      <c r="R235" s="2">
        <v>31</v>
      </c>
    </row>
    <row r="236" spans="2:18" s="4" customFormat="1" ht="9.75" customHeight="1">
      <c r="B236" s="6" t="s">
        <v>118</v>
      </c>
      <c r="C236" s="4">
        <f aca="true" t="shared" si="34" ref="C236:J236">C235/41079</f>
        <v>0.0264612088901872</v>
      </c>
      <c r="D236" s="4">
        <f t="shared" si="34"/>
        <v>0.5379390929672095</v>
      </c>
      <c r="E236" s="4">
        <f t="shared" si="34"/>
        <v>0.00800895834854792</v>
      </c>
      <c r="F236" s="4">
        <f t="shared" si="34"/>
        <v>0.38350495386937367</v>
      </c>
      <c r="G236" s="4">
        <f t="shared" si="34"/>
        <v>0.011709145792253949</v>
      </c>
      <c r="H236" s="4">
        <f t="shared" si="34"/>
        <v>0.009810365393510066</v>
      </c>
      <c r="I236" s="4">
        <f t="shared" si="34"/>
        <v>0.008179361717665961</v>
      </c>
      <c r="J236" s="4">
        <f t="shared" si="34"/>
        <v>0.014386913021251734</v>
      </c>
      <c r="K236" s="4">
        <f>K235/7046</f>
        <v>0.048822026681805276</v>
      </c>
      <c r="L236" s="4">
        <f>L235/7046</f>
        <v>0.05705364745955152</v>
      </c>
      <c r="M236" s="4">
        <f>M235/7046</f>
        <v>0.8336644904910587</v>
      </c>
      <c r="N236" s="4">
        <f>N235/7046</f>
        <v>0.060459835367584445</v>
      </c>
      <c r="O236" s="4">
        <f>O235/195</f>
        <v>1</v>
      </c>
      <c r="P236" s="4">
        <f>P235/97</f>
        <v>1</v>
      </c>
      <c r="Q236" s="4">
        <f>Q235/83</f>
        <v>1</v>
      </c>
      <c r="R236" s="4">
        <f>R235/31</f>
        <v>1</v>
      </c>
    </row>
    <row r="237" spans="2:18" ht="4.5" customHeight="1"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9.75" customHeight="1">
      <c r="A238" s="3" t="s">
        <v>95</v>
      </c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2:18" ht="9.75" customHeight="1">
      <c r="B239" s="5" t="s">
        <v>74</v>
      </c>
      <c r="C239" s="2">
        <v>1019</v>
      </c>
      <c r="D239" s="2">
        <v>24801</v>
      </c>
      <c r="E239" s="2">
        <v>479</v>
      </c>
      <c r="F239" s="2">
        <v>20027</v>
      </c>
      <c r="G239" s="2">
        <v>491</v>
      </c>
      <c r="H239" s="2">
        <v>608</v>
      </c>
      <c r="I239" s="2">
        <v>369</v>
      </c>
      <c r="J239" s="2">
        <v>845</v>
      </c>
      <c r="K239" s="2">
        <v>1174</v>
      </c>
      <c r="L239" s="2">
        <v>1143</v>
      </c>
      <c r="M239" s="2">
        <v>26991</v>
      </c>
      <c r="N239" s="2">
        <v>1108</v>
      </c>
      <c r="O239" s="2">
        <v>438</v>
      </c>
      <c r="P239" s="2">
        <v>455</v>
      </c>
      <c r="Q239" s="2">
        <v>307</v>
      </c>
      <c r="R239" s="2">
        <v>91</v>
      </c>
    </row>
    <row r="240" spans="1:18" ht="9.75" customHeight="1">
      <c r="A240" s="3" t="s">
        <v>117</v>
      </c>
      <c r="C240" s="2">
        <v>1019</v>
      </c>
      <c r="D240" s="2">
        <v>24801</v>
      </c>
      <c r="E240" s="2">
        <v>479</v>
      </c>
      <c r="F240" s="2">
        <v>20027</v>
      </c>
      <c r="G240" s="2">
        <v>491</v>
      </c>
      <c r="H240" s="2">
        <v>608</v>
      </c>
      <c r="I240" s="2">
        <v>369</v>
      </c>
      <c r="J240" s="2">
        <v>845</v>
      </c>
      <c r="K240" s="2">
        <v>1174</v>
      </c>
      <c r="L240" s="2">
        <v>1143</v>
      </c>
      <c r="M240" s="2">
        <v>26991</v>
      </c>
      <c r="N240" s="2">
        <v>1108</v>
      </c>
      <c r="O240" s="2">
        <v>438</v>
      </c>
      <c r="P240" s="2">
        <v>455</v>
      </c>
      <c r="Q240" s="2">
        <v>307</v>
      </c>
      <c r="R240" s="2">
        <v>91</v>
      </c>
    </row>
    <row r="241" spans="2:18" s="4" customFormat="1" ht="9.75" customHeight="1">
      <c r="B241" s="6" t="s">
        <v>118</v>
      </c>
      <c r="C241" s="4">
        <f aca="true" t="shared" si="35" ref="C241:J241">C240/48639</f>
        <v>0.02095026624725015</v>
      </c>
      <c r="D241" s="4">
        <f t="shared" si="35"/>
        <v>0.5098994633935731</v>
      </c>
      <c r="E241" s="4">
        <f t="shared" si="35"/>
        <v>0.0098480643105327</v>
      </c>
      <c r="F241" s="4">
        <f t="shared" si="35"/>
        <v>0.41174777441970434</v>
      </c>
      <c r="G241" s="4">
        <f t="shared" si="35"/>
        <v>0.010094779909126422</v>
      </c>
      <c r="H241" s="4">
        <f t="shared" si="35"/>
        <v>0.012500256995415201</v>
      </c>
      <c r="I241" s="4">
        <f t="shared" si="35"/>
        <v>0.007586504656756923</v>
      </c>
      <c r="J241" s="4">
        <f t="shared" si="35"/>
        <v>0.017372890067641193</v>
      </c>
      <c r="K241" s="4">
        <f>K240/30416</f>
        <v>0.03859810625986323</v>
      </c>
      <c r="L241" s="4">
        <f>L240/30416</f>
        <v>0.03757890583903209</v>
      </c>
      <c r="M241" s="4">
        <f>M240/30416</f>
        <v>0.8873947922146239</v>
      </c>
      <c r="N241" s="4">
        <f>N240/30416</f>
        <v>0.0364281956864808</v>
      </c>
      <c r="O241" s="4">
        <f>O240/438</f>
        <v>1</v>
      </c>
      <c r="P241" s="4">
        <f>P240/455</f>
        <v>1</v>
      </c>
      <c r="Q241" s="4">
        <f>Q240/307</f>
        <v>1</v>
      </c>
      <c r="R241" s="4">
        <f>R240/91</f>
        <v>1</v>
      </c>
    </row>
    <row r="242" spans="2:18" ht="4.5" customHeight="1"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9.75" customHeight="1">
      <c r="A243" s="3" t="s">
        <v>96</v>
      </c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2:18" ht="9.75" customHeight="1">
      <c r="B244" s="5" t="s">
        <v>74</v>
      </c>
      <c r="C244" s="2">
        <v>1052</v>
      </c>
      <c r="D244" s="2">
        <v>19426</v>
      </c>
      <c r="E244" s="2">
        <v>273</v>
      </c>
      <c r="F244" s="2">
        <v>16293</v>
      </c>
      <c r="G244" s="2">
        <v>580</v>
      </c>
      <c r="H244" s="2">
        <v>516</v>
      </c>
      <c r="I244" s="2">
        <v>270</v>
      </c>
      <c r="J244" s="2">
        <v>634</v>
      </c>
      <c r="K244" s="2">
        <v>483</v>
      </c>
      <c r="L244" s="2">
        <v>561</v>
      </c>
      <c r="M244" s="2">
        <v>8680</v>
      </c>
      <c r="N244" s="2">
        <v>597</v>
      </c>
      <c r="O244" s="2">
        <v>331</v>
      </c>
      <c r="P244" s="2">
        <v>255</v>
      </c>
      <c r="Q244" s="2">
        <v>142</v>
      </c>
      <c r="R244" s="2">
        <v>75</v>
      </c>
    </row>
    <row r="245" spans="1:18" ht="9.75" customHeight="1">
      <c r="A245" s="3" t="s">
        <v>117</v>
      </c>
      <c r="C245" s="2">
        <v>1052</v>
      </c>
      <c r="D245" s="2">
        <v>19426</v>
      </c>
      <c r="E245" s="2">
        <v>273</v>
      </c>
      <c r="F245" s="2">
        <v>16293</v>
      </c>
      <c r="G245" s="2">
        <v>580</v>
      </c>
      <c r="H245" s="2">
        <v>516</v>
      </c>
      <c r="I245" s="2">
        <v>270</v>
      </c>
      <c r="J245" s="2">
        <v>634</v>
      </c>
      <c r="K245" s="2">
        <v>483</v>
      </c>
      <c r="L245" s="2">
        <v>561</v>
      </c>
      <c r="M245" s="2">
        <v>8680</v>
      </c>
      <c r="N245" s="2">
        <v>597</v>
      </c>
      <c r="O245" s="2">
        <v>331</v>
      </c>
      <c r="P245" s="2">
        <v>255</v>
      </c>
      <c r="Q245" s="2">
        <v>142</v>
      </c>
      <c r="R245" s="2">
        <v>75</v>
      </c>
    </row>
    <row r="246" spans="2:18" s="4" customFormat="1" ht="9.75" customHeight="1">
      <c r="B246" s="6" t="s">
        <v>118</v>
      </c>
      <c r="C246" s="4">
        <f aca="true" t="shared" si="36" ref="C246:J246">C245/39044</f>
        <v>0.026943960659768465</v>
      </c>
      <c r="D246" s="4">
        <f t="shared" si="36"/>
        <v>0.4975412355291466</v>
      </c>
      <c r="E246" s="4">
        <f t="shared" si="36"/>
        <v>0.006992111463989346</v>
      </c>
      <c r="F246" s="4">
        <f t="shared" si="36"/>
        <v>0.4172984325376498</v>
      </c>
      <c r="G246" s="4">
        <f t="shared" si="36"/>
        <v>0.01485503534473927</v>
      </c>
      <c r="H246" s="4">
        <f t="shared" si="36"/>
        <v>0.013215859030837005</v>
      </c>
      <c r="I246" s="4">
        <f t="shared" si="36"/>
        <v>0.0069152750742751765</v>
      </c>
      <c r="J246" s="4">
        <f t="shared" si="36"/>
        <v>0.016238090359594302</v>
      </c>
      <c r="K246" s="4">
        <f>K245/10321</f>
        <v>0.04679779091173336</v>
      </c>
      <c r="L246" s="4">
        <f>L245/10321</f>
        <v>0.05435519813971514</v>
      </c>
      <c r="M246" s="4">
        <f>M245/10321</f>
        <v>0.841003778703614</v>
      </c>
      <c r="N246" s="4">
        <f>N245/10321</f>
        <v>0.05784323224493751</v>
      </c>
      <c r="O246" s="4">
        <f>O245/331</f>
        <v>1</v>
      </c>
      <c r="P246" s="4">
        <f>P245/255</f>
        <v>1</v>
      </c>
      <c r="Q246" s="4">
        <f>Q245/142</f>
        <v>1</v>
      </c>
      <c r="R246" s="4">
        <f>R245/75</f>
        <v>1</v>
      </c>
    </row>
    <row r="247" spans="2:18" ht="4.5" customHeight="1"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9.75" customHeight="1">
      <c r="A248" s="3" t="s">
        <v>97</v>
      </c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2:18" ht="9.75" customHeight="1">
      <c r="B249" s="5" t="s">
        <v>74</v>
      </c>
      <c r="C249" s="2">
        <v>1027</v>
      </c>
      <c r="D249" s="2">
        <v>16484</v>
      </c>
      <c r="E249" s="2">
        <v>357</v>
      </c>
      <c r="F249" s="2">
        <v>15143</v>
      </c>
      <c r="G249" s="2">
        <v>675</v>
      </c>
      <c r="H249" s="2">
        <v>495</v>
      </c>
      <c r="I249" s="2">
        <v>438</v>
      </c>
      <c r="J249" s="2">
        <v>622</v>
      </c>
      <c r="K249" s="2">
        <v>583</v>
      </c>
      <c r="L249" s="2">
        <v>516</v>
      </c>
      <c r="M249" s="2">
        <v>8263</v>
      </c>
      <c r="N249" s="2">
        <v>757</v>
      </c>
      <c r="O249" s="2">
        <v>268</v>
      </c>
      <c r="P249" s="2">
        <v>85</v>
      </c>
      <c r="Q249" s="2">
        <v>73</v>
      </c>
      <c r="R249" s="2">
        <v>47</v>
      </c>
    </row>
    <row r="250" spans="1:18" ht="9.75" customHeight="1">
      <c r="A250" s="3" t="s">
        <v>117</v>
      </c>
      <c r="C250" s="2">
        <v>1027</v>
      </c>
      <c r="D250" s="2">
        <v>16484</v>
      </c>
      <c r="E250" s="2">
        <v>357</v>
      </c>
      <c r="F250" s="2">
        <v>15143</v>
      </c>
      <c r="G250" s="2">
        <v>675</v>
      </c>
      <c r="H250" s="2">
        <v>495</v>
      </c>
      <c r="I250" s="2">
        <v>438</v>
      </c>
      <c r="J250" s="2">
        <v>622</v>
      </c>
      <c r="K250" s="2">
        <v>583</v>
      </c>
      <c r="L250" s="2">
        <v>516</v>
      </c>
      <c r="M250" s="2">
        <v>8263</v>
      </c>
      <c r="N250" s="2">
        <v>757</v>
      </c>
      <c r="O250" s="2">
        <v>268</v>
      </c>
      <c r="P250" s="2">
        <v>85</v>
      </c>
      <c r="Q250" s="2">
        <v>73</v>
      </c>
      <c r="R250" s="2">
        <v>47</v>
      </c>
    </row>
    <row r="251" spans="2:18" s="4" customFormat="1" ht="9.75" customHeight="1">
      <c r="B251" s="6" t="s">
        <v>118</v>
      </c>
      <c r="C251" s="4">
        <f aca="true" t="shared" si="37" ref="C251:J251">C250/35241</f>
        <v>0.02914219233279419</v>
      </c>
      <c r="D251" s="4">
        <f t="shared" si="37"/>
        <v>0.46775063136687384</v>
      </c>
      <c r="E251" s="4">
        <f t="shared" si="37"/>
        <v>0.010130246020260492</v>
      </c>
      <c r="F251" s="4">
        <f t="shared" si="37"/>
        <v>0.429698362702534</v>
      </c>
      <c r="G251" s="4">
        <f t="shared" si="37"/>
        <v>0.01915382650889589</v>
      </c>
      <c r="H251" s="4">
        <f t="shared" si="37"/>
        <v>0.014046139439856985</v>
      </c>
      <c r="I251" s="4">
        <f t="shared" si="37"/>
        <v>0.012428705201328</v>
      </c>
      <c r="J251" s="4">
        <f t="shared" si="37"/>
        <v>0.017649896427456655</v>
      </c>
      <c r="K251" s="4">
        <f>K250/10119</f>
        <v>0.057614388773594226</v>
      </c>
      <c r="L251" s="4">
        <f>L250/10119</f>
        <v>0.05099318114438186</v>
      </c>
      <c r="M251" s="4">
        <f>M250/10119</f>
        <v>0.8165826662713707</v>
      </c>
      <c r="N251" s="4">
        <f>N250/10119</f>
        <v>0.07480976381065323</v>
      </c>
      <c r="O251" s="4">
        <f>O250/268</f>
        <v>1</v>
      </c>
      <c r="P251" s="4">
        <f>P250/85</f>
        <v>1</v>
      </c>
      <c r="Q251" s="4">
        <f>Q250/73</f>
        <v>1</v>
      </c>
      <c r="R251" s="4">
        <f>R250/47</f>
        <v>1</v>
      </c>
    </row>
    <row r="252" spans="2:18" ht="4.5" customHeight="1"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9.75" customHeight="1">
      <c r="A253" s="3" t="s">
        <v>98</v>
      </c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2:18" ht="9.75" customHeight="1">
      <c r="B254" s="5" t="s">
        <v>74</v>
      </c>
      <c r="C254" s="2">
        <v>920</v>
      </c>
      <c r="D254" s="2">
        <v>14278</v>
      </c>
      <c r="E254" s="2">
        <v>392</v>
      </c>
      <c r="F254" s="2">
        <v>13671</v>
      </c>
      <c r="G254" s="2">
        <v>561</v>
      </c>
      <c r="H254" s="2">
        <v>473</v>
      </c>
      <c r="I254" s="2">
        <v>390</v>
      </c>
      <c r="J254" s="2">
        <v>567</v>
      </c>
      <c r="K254" s="2">
        <v>754</v>
      </c>
      <c r="L254" s="2">
        <v>645</v>
      </c>
      <c r="M254" s="2">
        <v>12954</v>
      </c>
      <c r="N254" s="2">
        <v>892</v>
      </c>
      <c r="O254" s="2">
        <v>267</v>
      </c>
      <c r="P254" s="2">
        <v>113</v>
      </c>
      <c r="Q254" s="2">
        <v>106</v>
      </c>
      <c r="R254" s="2">
        <v>47</v>
      </c>
    </row>
    <row r="255" spans="1:18" ht="9.75" customHeight="1">
      <c r="A255" s="3" t="s">
        <v>117</v>
      </c>
      <c r="C255" s="2">
        <v>920</v>
      </c>
      <c r="D255" s="2">
        <v>14278</v>
      </c>
      <c r="E255" s="2">
        <v>392</v>
      </c>
      <c r="F255" s="2">
        <v>13671</v>
      </c>
      <c r="G255" s="2">
        <v>561</v>
      </c>
      <c r="H255" s="2">
        <v>473</v>
      </c>
      <c r="I255" s="2">
        <v>390</v>
      </c>
      <c r="J255" s="2">
        <v>567</v>
      </c>
      <c r="K255" s="2">
        <v>754</v>
      </c>
      <c r="L255" s="2">
        <v>645</v>
      </c>
      <c r="M255" s="2">
        <v>12954</v>
      </c>
      <c r="N255" s="2">
        <v>892</v>
      </c>
      <c r="O255" s="2">
        <v>267</v>
      </c>
      <c r="P255" s="2">
        <v>113</v>
      </c>
      <c r="Q255" s="2">
        <v>106</v>
      </c>
      <c r="R255" s="2">
        <v>47</v>
      </c>
    </row>
    <row r="256" spans="2:18" s="4" customFormat="1" ht="9.75" customHeight="1">
      <c r="B256" s="6" t="s">
        <v>118</v>
      </c>
      <c r="C256" s="4">
        <f aca="true" t="shared" si="38" ref="C256:J256">C255/31252</f>
        <v>0.029438115960578524</v>
      </c>
      <c r="D256" s="4">
        <f t="shared" si="38"/>
        <v>0.4568667605273263</v>
      </c>
      <c r="E256" s="4">
        <f t="shared" si="38"/>
        <v>0.012543197235376936</v>
      </c>
      <c r="F256" s="4">
        <f t="shared" si="38"/>
        <v>0.4374440035837706</v>
      </c>
      <c r="G256" s="4">
        <f t="shared" si="38"/>
        <v>0.017950851145526685</v>
      </c>
      <c r="H256" s="4">
        <f t="shared" si="38"/>
        <v>0.015135031357993088</v>
      </c>
      <c r="I256" s="4">
        <f t="shared" si="38"/>
        <v>0.012479201331114808</v>
      </c>
      <c r="J256" s="4">
        <f t="shared" si="38"/>
        <v>0.018142838858313068</v>
      </c>
      <c r="K256" s="4">
        <f>K255/15245</f>
        <v>0.04945883896359462</v>
      </c>
      <c r="L256" s="4">
        <f>L255/15245</f>
        <v>0.042308953755329615</v>
      </c>
      <c r="M256" s="4">
        <f>M255/15245</f>
        <v>0.8497212200721548</v>
      </c>
      <c r="N256" s="4">
        <f>N255/15245</f>
        <v>0.05851098720892096</v>
      </c>
      <c r="O256" s="4">
        <f>O255/267</f>
        <v>1</v>
      </c>
      <c r="P256" s="4">
        <f>P255/113</f>
        <v>1</v>
      </c>
      <c r="Q256" s="4">
        <f>Q255/106</f>
        <v>1</v>
      </c>
      <c r="R256" s="4">
        <f>R255/47</f>
        <v>1</v>
      </c>
    </row>
    <row r="257" spans="2:18" ht="4.5" customHeight="1">
      <c r="B257" s="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9.75" customHeight="1">
      <c r="A258" s="3" t="s">
        <v>100</v>
      </c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2:18" ht="9.75" customHeight="1">
      <c r="B259" s="5" t="s">
        <v>99</v>
      </c>
      <c r="C259" s="2">
        <v>1060</v>
      </c>
      <c r="D259" s="2">
        <v>13136</v>
      </c>
      <c r="E259" s="2">
        <v>633</v>
      </c>
      <c r="F259" s="2">
        <v>12475</v>
      </c>
      <c r="G259" s="2">
        <v>556</v>
      </c>
      <c r="H259" s="2">
        <v>497</v>
      </c>
      <c r="I259" s="2">
        <v>367</v>
      </c>
      <c r="J259" s="2">
        <v>696</v>
      </c>
      <c r="K259" s="2">
        <v>1450</v>
      </c>
      <c r="L259" s="2">
        <v>1353</v>
      </c>
      <c r="M259" s="2">
        <v>42395</v>
      </c>
      <c r="N259" s="2">
        <v>1573</v>
      </c>
      <c r="O259" s="2">
        <v>458</v>
      </c>
      <c r="P259" s="2">
        <v>215</v>
      </c>
      <c r="Q259" s="2">
        <v>341</v>
      </c>
      <c r="R259" s="2">
        <v>71</v>
      </c>
    </row>
    <row r="260" spans="1:18" ht="9.75" customHeight="1">
      <c r="A260" s="3" t="s">
        <v>117</v>
      </c>
      <c r="C260" s="2">
        <v>1060</v>
      </c>
      <c r="D260" s="2">
        <v>13136</v>
      </c>
      <c r="E260" s="2">
        <v>633</v>
      </c>
      <c r="F260" s="2">
        <v>12475</v>
      </c>
      <c r="G260" s="2">
        <v>556</v>
      </c>
      <c r="H260" s="2">
        <v>497</v>
      </c>
      <c r="I260" s="2">
        <v>367</v>
      </c>
      <c r="J260" s="2">
        <v>696</v>
      </c>
      <c r="K260" s="2">
        <v>1450</v>
      </c>
      <c r="L260" s="2">
        <v>1353</v>
      </c>
      <c r="M260" s="2">
        <v>42395</v>
      </c>
      <c r="N260" s="2">
        <v>1573</v>
      </c>
      <c r="O260" s="2">
        <v>458</v>
      </c>
      <c r="P260" s="2">
        <v>215</v>
      </c>
      <c r="Q260" s="2">
        <v>341</v>
      </c>
      <c r="R260" s="2">
        <v>71</v>
      </c>
    </row>
    <row r="261" spans="2:18" s="4" customFormat="1" ht="9.75" customHeight="1">
      <c r="B261" s="6" t="s">
        <v>118</v>
      </c>
      <c r="C261" s="4">
        <f aca="true" t="shared" si="39" ref="C261:J261">C260/29420</f>
        <v>0.03602991162474507</v>
      </c>
      <c r="D261" s="4">
        <f t="shared" si="39"/>
        <v>0.44649898028552004</v>
      </c>
      <c r="E261" s="4">
        <f t="shared" si="39"/>
        <v>0.02151597552685248</v>
      </c>
      <c r="F261" s="4">
        <f t="shared" si="39"/>
        <v>0.42403127124405166</v>
      </c>
      <c r="G261" s="4">
        <f t="shared" si="39"/>
        <v>0.018898708361658734</v>
      </c>
      <c r="H261" s="4">
        <f t="shared" si="39"/>
        <v>0.01689326988443236</v>
      </c>
      <c r="I261" s="4">
        <f t="shared" si="39"/>
        <v>0.01247450713800136</v>
      </c>
      <c r="J261" s="4">
        <f t="shared" si="39"/>
        <v>0.023657375934738274</v>
      </c>
      <c r="K261" s="4">
        <f>K260/46771</f>
        <v>0.0310021166962434</v>
      </c>
      <c r="L261" s="4">
        <f>L260/46771</f>
        <v>0.028928181993115393</v>
      </c>
      <c r="M261" s="4">
        <f>M260/46771</f>
        <v>0.9064377498877509</v>
      </c>
      <c r="N261" s="4">
        <f>N260/46771</f>
        <v>0.03363195142289025</v>
      </c>
      <c r="O261" s="4">
        <f>O260/458</f>
        <v>1</v>
      </c>
      <c r="P261" s="4">
        <f>P260/215</f>
        <v>1</v>
      </c>
      <c r="Q261" s="4">
        <f>Q260/341</f>
        <v>1</v>
      </c>
      <c r="R261" s="4">
        <f>R260/71</f>
        <v>1</v>
      </c>
    </row>
    <row r="262" spans="2:18" ht="4.5" customHeight="1">
      <c r="B262" s="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9.75" customHeight="1">
      <c r="A263" s="3" t="s">
        <v>102</v>
      </c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2:18" ht="9.75" customHeight="1">
      <c r="B264" s="5" t="s">
        <v>101</v>
      </c>
      <c r="C264" s="2">
        <v>249</v>
      </c>
      <c r="D264" s="2">
        <v>3418</v>
      </c>
      <c r="E264" s="2">
        <v>106</v>
      </c>
      <c r="F264" s="2">
        <v>3161</v>
      </c>
      <c r="G264" s="2">
        <v>146</v>
      </c>
      <c r="H264" s="2">
        <v>117</v>
      </c>
      <c r="I264" s="2">
        <v>95</v>
      </c>
      <c r="J264" s="2">
        <v>132</v>
      </c>
      <c r="K264" s="2">
        <v>419</v>
      </c>
      <c r="L264" s="2">
        <v>337</v>
      </c>
      <c r="M264" s="2">
        <v>9574</v>
      </c>
      <c r="N264" s="2">
        <v>384</v>
      </c>
      <c r="O264" s="2">
        <v>156</v>
      </c>
      <c r="P264" s="2">
        <v>51</v>
      </c>
      <c r="Q264" s="2">
        <v>57</v>
      </c>
      <c r="R264" s="2">
        <v>6</v>
      </c>
    </row>
    <row r="265" spans="2:18" ht="9.75" customHeight="1">
      <c r="B265" s="5" t="s">
        <v>83</v>
      </c>
      <c r="C265" s="2">
        <v>810</v>
      </c>
      <c r="D265" s="2">
        <v>12181</v>
      </c>
      <c r="E265" s="2">
        <v>467</v>
      </c>
      <c r="F265" s="2">
        <v>10784</v>
      </c>
      <c r="G265" s="2">
        <v>385</v>
      </c>
      <c r="H265" s="2">
        <v>410</v>
      </c>
      <c r="I265" s="2">
        <v>389</v>
      </c>
      <c r="J265" s="2">
        <v>530</v>
      </c>
      <c r="K265" s="2">
        <v>1554</v>
      </c>
      <c r="L265" s="2">
        <v>1295</v>
      </c>
      <c r="M265" s="2">
        <v>36141</v>
      </c>
      <c r="N265" s="2">
        <v>1388</v>
      </c>
      <c r="O265" s="2">
        <v>611</v>
      </c>
      <c r="P265" s="2">
        <v>205</v>
      </c>
      <c r="Q265" s="2">
        <v>268</v>
      </c>
      <c r="R265" s="2">
        <v>54</v>
      </c>
    </row>
    <row r="266" spans="1:18" ht="9.75" customHeight="1">
      <c r="A266" s="3" t="s">
        <v>117</v>
      </c>
      <c r="C266" s="2">
        <v>1059</v>
      </c>
      <c r="D266" s="2">
        <v>15599</v>
      </c>
      <c r="E266" s="2">
        <v>573</v>
      </c>
      <c r="F266" s="2">
        <v>13945</v>
      </c>
      <c r="G266" s="2">
        <v>531</v>
      </c>
      <c r="H266" s="2">
        <v>527</v>
      </c>
      <c r="I266" s="2">
        <v>484</v>
      </c>
      <c r="J266" s="2">
        <v>662</v>
      </c>
      <c r="K266" s="2">
        <v>1973</v>
      </c>
      <c r="L266" s="2">
        <v>1632</v>
      </c>
      <c r="M266" s="2">
        <v>45715</v>
      </c>
      <c r="N266" s="2">
        <v>1772</v>
      </c>
      <c r="O266" s="2">
        <v>767</v>
      </c>
      <c r="P266" s="2">
        <v>256</v>
      </c>
      <c r="Q266" s="2">
        <v>325</v>
      </c>
      <c r="R266" s="2">
        <v>60</v>
      </c>
    </row>
    <row r="267" spans="2:18" s="4" customFormat="1" ht="9.75" customHeight="1">
      <c r="B267" s="6" t="s">
        <v>118</v>
      </c>
      <c r="C267" s="4">
        <f aca="true" t="shared" si="40" ref="C267:J267">C266/33380</f>
        <v>0.031725584182144995</v>
      </c>
      <c r="D267" s="4">
        <f t="shared" si="40"/>
        <v>0.4673157579388856</v>
      </c>
      <c r="E267" s="4">
        <f t="shared" si="40"/>
        <v>0.017165967645296584</v>
      </c>
      <c r="F267" s="4">
        <f t="shared" si="40"/>
        <v>0.4177651288196525</v>
      </c>
      <c r="G267" s="4">
        <f t="shared" si="40"/>
        <v>0.01590772917914919</v>
      </c>
      <c r="H267" s="4">
        <f t="shared" si="40"/>
        <v>0.01578789694427801</v>
      </c>
      <c r="I267" s="4">
        <f t="shared" si="40"/>
        <v>0.014499700419412821</v>
      </c>
      <c r="J267" s="4">
        <f t="shared" si="40"/>
        <v>0.019832234871180347</v>
      </c>
      <c r="K267" s="4">
        <f>K266/51092</f>
        <v>0.0386166131684021</v>
      </c>
      <c r="L267" s="4">
        <f>L266/51092</f>
        <v>0.03194237845455257</v>
      </c>
      <c r="M267" s="4">
        <f>M266/51092</f>
        <v>0.8947584749080091</v>
      </c>
      <c r="N267" s="4">
        <f>N266/51092</f>
        <v>0.03468253346903625</v>
      </c>
      <c r="O267" s="4">
        <f>O266/767</f>
        <v>1</v>
      </c>
      <c r="P267" s="4">
        <f>P266/256</f>
        <v>1</v>
      </c>
      <c r="Q267" s="4">
        <f>Q266/325</f>
        <v>1</v>
      </c>
      <c r="R267" s="4">
        <f>R266/60</f>
        <v>1</v>
      </c>
    </row>
    <row r="268" spans="2:18" ht="4.5" customHeight="1"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9.75" customHeight="1">
      <c r="A269" s="3" t="s">
        <v>103</v>
      </c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2:18" ht="9.75" customHeight="1">
      <c r="B270" s="5" t="s">
        <v>74</v>
      </c>
      <c r="C270" s="2">
        <v>132</v>
      </c>
      <c r="D270" s="2">
        <v>2929</v>
      </c>
      <c r="E270" s="2">
        <v>79</v>
      </c>
      <c r="F270" s="2">
        <v>2468</v>
      </c>
      <c r="G270" s="2">
        <v>84</v>
      </c>
      <c r="H270" s="2">
        <v>83</v>
      </c>
      <c r="I270" s="2">
        <v>52</v>
      </c>
      <c r="J270" s="2">
        <v>106</v>
      </c>
      <c r="K270" s="2">
        <v>221</v>
      </c>
      <c r="L270" s="2">
        <v>230</v>
      </c>
      <c r="M270" s="2">
        <v>6282</v>
      </c>
      <c r="N270" s="2">
        <v>243</v>
      </c>
      <c r="O270" s="2">
        <v>72</v>
      </c>
      <c r="P270" s="2">
        <v>29</v>
      </c>
      <c r="Q270" s="2">
        <v>23</v>
      </c>
      <c r="R270" s="2">
        <v>4</v>
      </c>
    </row>
    <row r="271" spans="2:18" ht="9.75" customHeight="1">
      <c r="B271" s="5" t="s">
        <v>99</v>
      </c>
      <c r="C271" s="2">
        <v>414</v>
      </c>
      <c r="D271" s="2">
        <v>7547</v>
      </c>
      <c r="E271" s="2">
        <v>277</v>
      </c>
      <c r="F271" s="2">
        <v>6940</v>
      </c>
      <c r="G271" s="2">
        <v>276</v>
      </c>
      <c r="H271" s="2">
        <v>215</v>
      </c>
      <c r="I271" s="2">
        <v>149</v>
      </c>
      <c r="J271" s="2">
        <v>344</v>
      </c>
      <c r="K271" s="2">
        <v>985</v>
      </c>
      <c r="L271" s="2">
        <v>905</v>
      </c>
      <c r="M271" s="2">
        <v>33558</v>
      </c>
      <c r="N271" s="2">
        <v>967</v>
      </c>
      <c r="O271" s="2">
        <v>318</v>
      </c>
      <c r="P271" s="2">
        <v>108</v>
      </c>
      <c r="Q271" s="2">
        <v>192</v>
      </c>
      <c r="R271" s="2">
        <v>35</v>
      </c>
    </row>
    <row r="272" spans="2:18" ht="9.75" customHeight="1">
      <c r="B272" s="5" t="s">
        <v>83</v>
      </c>
      <c r="C272" s="2">
        <v>126</v>
      </c>
      <c r="D272" s="2">
        <v>2441</v>
      </c>
      <c r="E272" s="2">
        <v>82</v>
      </c>
      <c r="F272" s="2">
        <v>1961</v>
      </c>
      <c r="G272" s="2">
        <v>54</v>
      </c>
      <c r="H272" s="2">
        <v>57</v>
      </c>
      <c r="I272" s="2">
        <v>42</v>
      </c>
      <c r="J272" s="2">
        <v>124</v>
      </c>
      <c r="K272" s="2">
        <v>249</v>
      </c>
      <c r="L272" s="2">
        <v>205</v>
      </c>
      <c r="M272" s="2">
        <v>5398</v>
      </c>
      <c r="N272" s="2">
        <v>428</v>
      </c>
      <c r="O272" s="2">
        <v>56</v>
      </c>
      <c r="P272" s="2">
        <v>28</v>
      </c>
      <c r="Q272" s="2">
        <v>32</v>
      </c>
      <c r="R272" s="2">
        <v>8</v>
      </c>
    </row>
    <row r="273" spans="1:18" ht="9.75" customHeight="1">
      <c r="A273" s="3" t="s">
        <v>117</v>
      </c>
      <c r="C273" s="2">
        <v>672</v>
      </c>
      <c r="D273" s="2">
        <v>12917</v>
      </c>
      <c r="E273" s="2">
        <v>438</v>
      </c>
      <c r="F273" s="2">
        <v>11369</v>
      </c>
      <c r="G273" s="2">
        <v>414</v>
      </c>
      <c r="H273" s="2">
        <v>355</v>
      </c>
      <c r="I273" s="2">
        <v>243</v>
      </c>
      <c r="J273" s="2">
        <v>574</v>
      </c>
      <c r="K273" s="2">
        <v>1455</v>
      </c>
      <c r="L273" s="2">
        <v>1340</v>
      </c>
      <c r="M273" s="2">
        <v>45238</v>
      </c>
      <c r="N273" s="2">
        <v>1638</v>
      </c>
      <c r="O273" s="2">
        <v>446</v>
      </c>
      <c r="P273" s="2">
        <v>165</v>
      </c>
      <c r="Q273" s="2">
        <v>247</v>
      </c>
      <c r="R273" s="2">
        <v>47</v>
      </c>
    </row>
    <row r="274" spans="2:18" s="4" customFormat="1" ht="9.75" customHeight="1">
      <c r="B274" s="6" t="s">
        <v>118</v>
      </c>
      <c r="C274" s="4">
        <f aca="true" t="shared" si="41" ref="C274:J274">C273/26982</f>
        <v>0.02490549255058928</v>
      </c>
      <c r="D274" s="4">
        <f t="shared" si="41"/>
        <v>0.47872655844637163</v>
      </c>
      <c r="E274" s="4">
        <f t="shared" si="41"/>
        <v>0.01623304425172337</v>
      </c>
      <c r="F274" s="4">
        <f t="shared" si="41"/>
        <v>0.42135497739233563</v>
      </c>
      <c r="G274" s="4">
        <f t="shared" si="41"/>
        <v>0.015343562374916611</v>
      </c>
      <c r="H274" s="4">
        <f t="shared" si="41"/>
        <v>0.013156919427766658</v>
      </c>
      <c r="I274" s="4">
        <f t="shared" si="41"/>
        <v>0.009006004002668445</v>
      </c>
      <c r="J274" s="4">
        <f t="shared" si="41"/>
        <v>0.021273441553628345</v>
      </c>
      <c r="K274" s="4">
        <f>K273/49671</f>
        <v>0.029292746270459625</v>
      </c>
      <c r="L274" s="4">
        <f>L273/49671</f>
        <v>0.02697751202915182</v>
      </c>
      <c r="M274" s="4">
        <f>M273/49671</f>
        <v>0.9107527531155</v>
      </c>
      <c r="N274" s="4">
        <f>N273/49671</f>
        <v>0.03297698858488857</v>
      </c>
      <c r="O274" s="4">
        <f>O273/446</f>
        <v>1</v>
      </c>
      <c r="P274" s="4">
        <f>P273/165</f>
        <v>1</v>
      </c>
      <c r="Q274" s="4">
        <f>Q273/247</f>
        <v>1</v>
      </c>
      <c r="R274" s="4">
        <f>R273/47</f>
        <v>1</v>
      </c>
    </row>
    <row r="275" spans="2:18" ht="4.5" customHeight="1"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9.75" customHeight="1">
      <c r="A276" s="3" t="s">
        <v>104</v>
      </c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2:18" ht="9.75" customHeight="1">
      <c r="B277" s="5" t="s">
        <v>83</v>
      </c>
      <c r="C277" s="2">
        <v>847</v>
      </c>
      <c r="D277" s="2">
        <v>11200</v>
      </c>
      <c r="E277" s="2">
        <v>234</v>
      </c>
      <c r="F277" s="2">
        <v>11362</v>
      </c>
      <c r="G277" s="2">
        <v>442</v>
      </c>
      <c r="H277" s="2">
        <v>576</v>
      </c>
      <c r="I277" s="2">
        <v>234</v>
      </c>
      <c r="J277" s="2">
        <v>710</v>
      </c>
      <c r="K277" s="2">
        <v>818</v>
      </c>
      <c r="L277" s="2">
        <v>600</v>
      </c>
      <c r="M277" s="2">
        <v>10018</v>
      </c>
      <c r="N277" s="2">
        <v>1009</v>
      </c>
      <c r="O277" s="2">
        <v>249</v>
      </c>
      <c r="P277" s="2">
        <v>83</v>
      </c>
      <c r="Q277" s="2">
        <v>85</v>
      </c>
      <c r="R277" s="2">
        <v>56</v>
      </c>
    </row>
    <row r="278" spans="1:18" ht="9.75" customHeight="1">
      <c r="A278" s="3" t="s">
        <v>117</v>
      </c>
      <c r="C278" s="2">
        <v>847</v>
      </c>
      <c r="D278" s="2">
        <v>11200</v>
      </c>
      <c r="E278" s="2">
        <v>234</v>
      </c>
      <c r="F278" s="2">
        <v>11362</v>
      </c>
      <c r="G278" s="2">
        <v>442</v>
      </c>
      <c r="H278" s="2">
        <v>576</v>
      </c>
      <c r="I278" s="2">
        <v>234</v>
      </c>
      <c r="J278" s="2">
        <v>710</v>
      </c>
      <c r="K278" s="2">
        <v>818</v>
      </c>
      <c r="L278" s="2">
        <v>600</v>
      </c>
      <c r="M278" s="2">
        <v>10018</v>
      </c>
      <c r="N278" s="2">
        <v>1009</v>
      </c>
      <c r="O278" s="2">
        <v>249</v>
      </c>
      <c r="P278" s="2">
        <v>83</v>
      </c>
      <c r="Q278" s="2">
        <v>85</v>
      </c>
      <c r="R278" s="2">
        <v>56</v>
      </c>
    </row>
    <row r="279" spans="2:18" s="4" customFormat="1" ht="9.75" customHeight="1">
      <c r="B279" s="6" t="s">
        <v>118</v>
      </c>
      <c r="C279" s="4">
        <f aca="true" t="shared" si="42" ref="C279:J279">C278/25605</f>
        <v>0.033079476664713926</v>
      </c>
      <c r="D279" s="4">
        <f t="shared" si="42"/>
        <v>0.43741456746729157</v>
      </c>
      <c r="E279" s="4">
        <f t="shared" si="42"/>
        <v>0.009138840070298769</v>
      </c>
      <c r="F279" s="4">
        <f t="shared" si="42"/>
        <v>0.44374145674672916</v>
      </c>
      <c r="G279" s="4">
        <f t="shared" si="42"/>
        <v>0.017262253466119898</v>
      </c>
      <c r="H279" s="4">
        <f t="shared" si="42"/>
        <v>0.02249560632688928</v>
      </c>
      <c r="I279" s="4">
        <f t="shared" si="42"/>
        <v>0.009138840070298769</v>
      </c>
      <c r="J279" s="4">
        <f t="shared" si="42"/>
        <v>0.02772895918765866</v>
      </c>
      <c r="K279" s="4">
        <f>K278/12445</f>
        <v>0.06572920851747689</v>
      </c>
      <c r="L279" s="4">
        <f>L278/12445</f>
        <v>0.04821213338690237</v>
      </c>
      <c r="M279" s="4">
        <f>M278/12445</f>
        <v>0.80498192044998</v>
      </c>
      <c r="N279" s="4">
        <f>N278/12445</f>
        <v>0.08107673764564081</v>
      </c>
      <c r="O279" s="4">
        <f>O278/249</f>
        <v>1</v>
      </c>
      <c r="P279" s="4">
        <f>P278/83</f>
        <v>1</v>
      </c>
      <c r="Q279" s="4">
        <f>Q278/85</f>
        <v>1</v>
      </c>
      <c r="R279" s="4">
        <f>R278/56</f>
        <v>1</v>
      </c>
    </row>
    <row r="280" spans="2:18" ht="4.5" customHeight="1"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9.75" customHeight="1">
      <c r="A281" s="3" t="s">
        <v>105</v>
      </c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2:18" ht="9.75" customHeight="1">
      <c r="B282" s="5" t="s">
        <v>99</v>
      </c>
      <c r="C282" s="2">
        <v>116</v>
      </c>
      <c r="D282" s="2">
        <v>2186</v>
      </c>
      <c r="E282" s="2">
        <v>48</v>
      </c>
      <c r="F282" s="2">
        <v>1923</v>
      </c>
      <c r="G282" s="2">
        <v>58</v>
      </c>
      <c r="H282" s="2">
        <v>62</v>
      </c>
      <c r="I282" s="2">
        <v>34</v>
      </c>
      <c r="J282" s="2">
        <v>84</v>
      </c>
      <c r="K282" s="2">
        <v>271</v>
      </c>
      <c r="L282" s="2">
        <v>250</v>
      </c>
      <c r="M282" s="2">
        <v>11451</v>
      </c>
      <c r="N282" s="2">
        <v>240</v>
      </c>
      <c r="O282" s="2">
        <v>97</v>
      </c>
      <c r="P282" s="2">
        <v>54</v>
      </c>
      <c r="Q282" s="2">
        <v>80</v>
      </c>
      <c r="R282" s="2">
        <v>5</v>
      </c>
    </row>
    <row r="283" spans="2:18" ht="9.75" customHeight="1">
      <c r="B283" s="5" t="s">
        <v>101</v>
      </c>
      <c r="C283" s="2">
        <v>664</v>
      </c>
      <c r="D283" s="2">
        <v>10457</v>
      </c>
      <c r="E283" s="2">
        <v>347</v>
      </c>
      <c r="F283" s="2">
        <v>10424</v>
      </c>
      <c r="G283" s="2">
        <v>455</v>
      </c>
      <c r="H283" s="2">
        <v>301</v>
      </c>
      <c r="I283" s="2">
        <v>321</v>
      </c>
      <c r="J283" s="2">
        <v>468</v>
      </c>
      <c r="K283" s="2">
        <v>995</v>
      </c>
      <c r="L283" s="2">
        <v>961</v>
      </c>
      <c r="M283" s="2">
        <v>24169</v>
      </c>
      <c r="N283" s="2">
        <v>1329</v>
      </c>
      <c r="O283" s="2">
        <v>378</v>
      </c>
      <c r="P283" s="2">
        <v>147</v>
      </c>
      <c r="Q283" s="2">
        <v>173</v>
      </c>
      <c r="R283" s="2">
        <v>48</v>
      </c>
    </row>
    <row r="284" spans="1:18" ht="9.75" customHeight="1">
      <c r="A284" s="3" t="s">
        <v>117</v>
      </c>
      <c r="C284" s="2">
        <v>780</v>
      </c>
      <c r="D284" s="2">
        <v>12643</v>
      </c>
      <c r="E284" s="2">
        <v>395</v>
      </c>
      <c r="F284" s="2">
        <v>12347</v>
      </c>
      <c r="G284" s="2">
        <v>513</v>
      </c>
      <c r="H284" s="2">
        <v>363</v>
      </c>
      <c r="I284" s="2">
        <v>355</v>
      </c>
      <c r="J284" s="2">
        <v>552</v>
      </c>
      <c r="K284" s="2">
        <v>1266</v>
      </c>
      <c r="L284" s="2">
        <v>1211</v>
      </c>
      <c r="M284" s="2">
        <v>35620</v>
      </c>
      <c r="N284" s="2">
        <v>1569</v>
      </c>
      <c r="O284" s="2">
        <v>475</v>
      </c>
      <c r="P284" s="2">
        <v>201</v>
      </c>
      <c r="Q284" s="2">
        <v>253</v>
      </c>
      <c r="R284" s="2">
        <v>53</v>
      </c>
    </row>
    <row r="285" spans="2:18" s="4" customFormat="1" ht="9.75" customHeight="1">
      <c r="B285" s="6" t="s">
        <v>118</v>
      </c>
      <c r="C285" s="4">
        <f aca="true" t="shared" si="43" ref="C285:J285">C284/27948</f>
        <v>0.027908973808501502</v>
      </c>
      <c r="D285" s="4">
        <f t="shared" si="43"/>
        <v>0.4523758408472878</v>
      </c>
      <c r="E285" s="4">
        <f t="shared" si="43"/>
        <v>0.014133390582510376</v>
      </c>
      <c r="F285" s="4">
        <f t="shared" si="43"/>
        <v>0.44178474309431803</v>
      </c>
      <c r="G285" s="4">
        <f t="shared" si="43"/>
        <v>0.018355517389437526</v>
      </c>
      <c r="H285" s="4">
        <f t="shared" si="43"/>
        <v>0.012988407041648777</v>
      </c>
      <c r="I285" s="4">
        <f t="shared" si="43"/>
        <v>0.012702161156433377</v>
      </c>
      <c r="J285" s="4">
        <f t="shared" si="43"/>
        <v>0.0197509660798626</v>
      </c>
      <c r="K285" s="4">
        <f>K284/39666</f>
        <v>0.03191650279836636</v>
      </c>
      <c r="L285" s="4">
        <f>L284/39666</f>
        <v>0.030529924872686937</v>
      </c>
      <c r="M285" s="4">
        <f>M284/39666</f>
        <v>0.8979982856854737</v>
      </c>
      <c r="N285" s="4">
        <f>N284/39666</f>
        <v>0.039555286643473</v>
      </c>
      <c r="O285" s="4">
        <f>O284/475</f>
        <v>1</v>
      </c>
      <c r="P285" s="4">
        <f>P284/201</f>
        <v>1</v>
      </c>
      <c r="Q285" s="4">
        <f>Q284/253</f>
        <v>1</v>
      </c>
      <c r="R285" s="4">
        <f>R284/53</f>
        <v>1</v>
      </c>
    </row>
    <row r="286" spans="2:18" ht="4.5" customHeight="1"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9.75" customHeight="1">
      <c r="A287" s="3" t="s">
        <v>106</v>
      </c>
      <c r="B287" s="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2:18" ht="9.75" customHeight="1">
      <c r="B288" s="5" t="s">
        <v>101</v>
      </c>
      <c r="C288" s="2">
        <v>1043</v>
      </c>
      <c r="D288" s="2">
        <v>17148</v>
      </c>
      <c r="E288" s="2">
        <v>421</v>
      </c>
      <c r="F288" s="2">
        <v>14613</v>
      </c>
      <c r="G288" s="2">
        <v>897</v>
      </c>
      <c r="H288" s="2">
        <v>511</v>
      </c>
      <c r="I288" s="2">
        <v>427</v>
      </c>
      <c r="J288" s="2">
        <v>665</v>
      </c>
      <c r="K288" s="2">
        <v>1370</v>
      </c>
      <c r="L288" s="2">
        <v>1212</v>
      </c>
      <c r="M288" s="2">
        <v>41667</v>
      </c>
      <c r="N288" s="2">
        <v>1512</v>
      </c>
      <c r="O288" s="2">
        <v>588</v>
      </c>
      <c r="P288" s="2">
        <v>142</v>
      </c>
      <c r="Q288" s="2">
        <v>205</v>
      </c>
      <c r="R288" s="2">
        <v>40</v>
      </c>
    </row>
    <row r="289" spans="1:18" ht="9.75" customHeight="1">
      <c r="A289" s="3" t="s">
        <v>117</v>
      </c>
      <c r="C289" s="2">
        <v>1043</v>
      </c>
      <c r="D289" s="2">
        <v>17148</v>
      </c>
      <c r="E289" s="2">
        <v>421</v>
      </c>
      <c r="F289" s="2">
        <v>14613</v>
      </c>
      <c r="G289" s="2">
        <v>897</v>
      </c>
      <c r="H289" s="2">
        <v>511</v>
      </c>
      <c r="I289" s="2">
        <v>427</v>
      </c>
      <c r="J289" s="2">
        <v>665</v>
      </c>
      <c r="K289" s="2">
        <v>1370</v>
      </c>
      <c r="L289" s="2">
        <v>1212</v>
      </c>
      <c r="M289" s="2">
        <v>41667</v>
      </c>
      <c r="N289" s="2">
        <v>1512</v>
      </c>
      <c r="O289" s="2">
        <v>588</v>
      </c>
      <c r="P289" s="2">
        <v>142</v>
      </c>
      <c r="Q289" s="2">
        <v>205</v>
      </c>
      <c r="R289" s="2">
        <v>40</v>
      </c>
    </row>
    <row r="290" spans="2:18" s="4" customFormat="1" ht="9.75" customHeight="1">
      <c r="B290" s="6" t="s">
        <v>118</v>
      </c>
      <c r="C290" s="4">
        <f aca="true" t="shared" si="44" ref="C290:J290">C289/35725</f>
        <v>0.02919524142757173</v>
      </c>
      <c r="D290" s="4">
        <f t="shared" si="44"/>
        <v>0.48</v>
      </c>
      <c r="E290" s="4">
        <f t="shared" si="44"/>
        <v>0.01178446466060182</v>
      </c>
      <c r="F290" s="4">
        <f t="shared" si="44"/>
        <v>0.4090412876137159</v>
      </c>
      <c r="G290" s="4">
        <f t="shared" si="44"/>
        <v>0.02510846745976207</v>
      </c>
      <c r="H290" s="4">
        <f t="shared" si="44"/>
        <v>0.0143037088873338</v>
      </c>
      <c r="I290" s="4">
        <f t="shared" si="44"/>
        <v>0.011952414275717286</v>
      </c>
      <c r="J290" s="4">
        <f t="shared" si="44"/>
        <v>0.01861441567529741</v>
      </c>
      <c r="K290" s="4">
        <f>K289/45761</f>
        <v>0.029938156945870938</v>
      </c>
      <c r="L290" s="4">
        <f>L289/45761</f>
        <v>0.02648543519590918</v>
      </c>
      <c r="M290" s="4">
        <f>M289/45761</f>
        <v>0.9105351718712441</v>
      </c>
      <c r="N290" s="4">
        <f>N289/45761</f>
        <v>0.03304123598697581</v>
      </c>
      <c r="O290" s="4">
        <f>O289/588</f>
        <v>1</v>
      </c>
      <c r="P290" s="4">
        <f>P289/142</f>
        <v>1</v>
      </c>
      <c r="Q290" s="4">
        <f>Q289/205</f>
        <v>1</v>
      </c>
      <c r="R290" s="4">
        <f>R289/40</f>
        <v>1</v>
      </c>
    </row>
    <row r="291" spans="2:18" ht="4.5" customHeight="1"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9.75" customHeight="1">
      <c r="A292" s="3" t="s">
        <v>107</v>
      </c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2:18" ht="9.75" customHeight="1">
      <c r="B293" s="5" t="s">
        <v>74</v>
      </c>
      <c r="C293" s="2">
        <v>248</v>
      </c>
      <c r="D293" s="2">
        <v>7516</v>
      </c>
      <c r="E293" s="2">
        <v>153</v>
      </c>
      <c r="F293" s="2">
        <v>6437</v>
      </c>
      <c r="G293" s="2">
        <v>136</v>
      </c>
      <c r="H293" s="2">
        <v>224</v>
      </c>
      <c r="I293" s="2">
        <v>117</v>
      </c>
      <c r="J293" s="2">
        <v>244</v>
      </c>
      <c r="K293" s="2">
        <v>466</v>
      </c>
      <c r="L293" s="2">
        <v>431</v>
      </c>
      <c r="M293" s="2">
        <v>17056</v>
      </c>
      <c r="N293" s="2">
        <v>541</v>
      </c>
      <c r="O293" s="2">
        <v>167</v>
      </c>
      <c r="P293" s="2">
        <v>138</v>
      </c>
      <c r="Q293" s="2">
        <v>137</v>
      </c>
      <c r="R293" s="2">
        <v>12</v>
      </c>
    </row>
    <row r="294" spans="2:18" ht="9.75" customHeight="1">
      <c r="B294" s="5" t="s">
        <v>99</v>
      </c>
      <c r="C294" s="2">
        <v>864</v>
      </c>
      <c r="D294" s="2">
        <v>10966</v>
      </c>
      <c r="E294" s="2">
        <v>510</v>
      </c>
      <c r="F294" s="2">
        <v>9770</v>
      </c>
      <c r="G294" s="2">
        <v>335</v>
      </c>
      <c r="H294" s="2">
        <v>433</v>
      </c>
      <c r="I294" s="2">
        <v>324</v>
      </c>
      <c r="J294" s="2">
        <v>598</v>
      </c>
      <c r="K294" s="2">
        <v>1238</v>
      </c>
      <c r="L294" s="2">
        <v>1180</v>
      </c>
      <c r="M294" s="2">
        <v>37109</v>
      </c>
      <c r="N294" s="2">
        <v>1370</v>
      </c>
      <c r="O294" s="2">
        <v>414</v>
      </c>
      <c r="P294" s="2">
        <v>235</v>
      </c>
      <c r="Q294" s="2">
        <v>329</v>
      </c>
      <c r="R294" s="2">
        <v>34</v>
      </c>
    </row>
    <row r="295" spans="1:18" ht="9.75" customHeight="1">
      <c r="A295" s="3" t="s">
        <v>117</v>
      </c>
      <c r="C295" s="2">
        <v>1112</v>
      </c>
      <c r="D295" s="2">
        <v>18482</v>
      </c>
      <c r="E295" s="2">
        <v>663</v>
      </c>
      <c r="F295" s="2">
        <v>16207</v>
      </c>
      <c r="G295" s="2">
        <v>471</v>
      </c>
      <c r="H295" s="2">
        <v>657</v>
      </c>
      <c r="I295" s="2">
        <v>441</v>
      </c>
      <c r="J295" s="2">
        <v>842</v>
      </c>
      <c r="K295" s="2">
        <v>1704</v>
      </c>
      <c r="L295" s="2">
        <v>1611</v>
      </c>
      <c r="M295" s="2">
        <v>54165</v>
      </c>
      <c r="N295" s="2">
        <v>1911</v>
      </c>
      <c r="O295" s="2">
        <v>581</v>
      </c>
      <c r="P295" s="2">
        <v>373</v>
      </c>
      <c r="Q295" s="2">
        <v>466</v>
      </c>
      <c r="R295" s="2">
        <v>46</v>
      </c>
    </row>
    <row r="296" spans="2:18" s="4" customFormat="1" ht="9.75" customHeight="1">
      <c r="B296" s="6" t="s">
        <v>118</v>
      </c>
      <c r="C296" s="4">
        <f aca="true" t="shared" si="45" ref="C296:J296">C295/38875</f>
        <v>0.02860450160771704</v>
      </c>
      <c r="D296" s="4">
        <f t="shared" si="45"/>
        <v>0.4754212218649518</v>
      </c>
      <c r="E296" s="4">
        <f t="shared" si="45"/>
        <v>0.017054662379421222</v>
      </c>
      <c r="F296" s="4">
        <f t="shared" si="45"/>
        <v>0.41690032154340834</v>
      </c>
      <c r="G296" s="4">
        <f t="shared" si="45"/>
        <v>0.012115755627009646</v>
      </c>
      <c r="H296" s="4">
        <f t="shared" si="45"/>
        <v>0.01690032154340836</v>
      </c>
      <c r="I296" s="4">
        <f t="shared" si="45"/>
        <v>0.011344051446945337</v>
      </c>
      <c r="J296" s="4">
        <f t="shared" si="45"/>
        <v>0.021659163987138262</v>
      </c>
      <c r="K296" s="4">
        <f>K295/59391</f>
        <v>0.02869121584078396</v>
      </c>
      <c r="L296" s="4">
        <f>L295/59391</f>
        <v>0.02712532201848765</v>
      </c>
      <c r="M296" s="4">
        <f>M295/59391</f>
        <v>0.9120068697277365</v>
      </c>
      <c r="N296" s="4">
        <f>N295/59391</f>
        <v>0.03217659241299187</v>
      </c>
      <c r="O296" s="4">
        <f>O295/581</f>
        <v>1</v>
      </c>
      <c r="P296" s="4">
        <f>P295/373</f>
        <v>1</v>
      </c>
      <c r="Q296" s="4">
        <f>Q295/466</f>
        <v>1</v>
      </c>
      <c r="R296" s="4">
        <f>R295/46</f>
        <v>1</v>
      </c>
    </row>
    <row r="297" spans="2:18" ht="4.5" customHeight="1"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9.75" customHeight="1">
      <c r="A298" s="3" t="s">
        <v>108</v>
      </c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2:18" ht="9.75" customHeight="1">
      <c r="B299" s="5" t="s">
        <v>99</v>
      </c>
      <c r="C299" s="2">
        <v>1184</v>
      </c>
      <c r="D299" s="2">
        <v>7710</v>
      </c>
      <c r="E299" s="2">
        <v>301</v>
      </c>
      <c r="F299" s="2">
        <v>9275</v>
      </c>
      <c r="G299" s="2">
        <v>603</v>
      </c>
      <c r="H299" s="2">
        <v>570</v>
      </c>
      <c r="I299" s="2">
        <v>332</v>
      </c>
      <c r="J299" s="2">
        <v>979</v>
      </c>
      <c r="K299" s="2">
        <v>919</v>
      </c>
      <c r="L299" s="2">
        <v>719</v>
      </c>
      <c r="M299" s="2">
        <v>14547</v>
      </c>
      <c r="N299" s="2">
        <v>1132</v>
      </c>
      <c r="O299" s="2">
        <v>276</v>
      </c>
      <c r="P299" s="2">
        <v>118</v>
      </c>
      <c r="Q299" s="2">
        <v>161</v>
      </c>
      <c r="R299" s="2">
        <v>58</v>
      </c>
    </row>
    <row r="300" spans="1:18" ht="9.75" customHeight="1">
      <c r="A300" s="3" t="s">
        <v>117</v>
      </c>
      <c r="C300" s="2">
        <v>1184</v>
      </c>
      <c r="D300" s="2">
        <v>7710</v>
      </c>
      <c r="E300" s="2">
        <v>301</v>
      </c>
      <c r="F300" s="2">
        <v>9275</v>
      </c>
      <c r="G300" s="2">
        <v>603</v>
      </c>
      <c r="H300" s="2">
        <v>570</v>
      </c>
      <c r="I300" s="2">
        <v>332</v>
      </c>
      <c r="J300" s="2">
        <v>979</v>
      </c>
      <c r="K300" s="2">
        <v>919</v>
      </c>
      <c r="L300" s="2">
        <v>719</v>
      </c>
      <c r="M300" s="2">
        <v>14547</v>
      </c>
      <c r="N300" s="2">
        <v>1132</v>
      </c>
      <c r="O300" s="2">
        <v>276</v>
      </c>
      <c r="P300" s="2">
        <v>118</v>
      </c>
      <c r="Q300" s="2">
        <v>161</v>
      </c>
      <c r="R300" s="2">
        <v>58</v>
      </c>
    </row>
    <row r="301" spans="2:18" s="4" customFormat="1" ht="9.75" customHeight="1">
      <c r="B301" s="6" t="s">
        <v>118</v>
      </c>
      <c r="C301" s="4">
        <f aca="true" t="shared" si="46" ref="C301:J301">C300/20954</f>
        <v>0.05650472463491457</v>
      </c>
      <c r="D301" s="4">
        <f t="shared" si="46"/>
        <v>0.36794884031688463</v>
      </c>
      <c r="E301" s="4">
        <f t="shared" si="46"/>
        <v>0.014364799083707169</v>
      </c>
      <c r="F301" s="4">
        <f t="shared" si="46"/>
        <v>0.4426362508351627</v>
      </c>
      <c r="G301" s="4">
        <f t="shared" si="46"/>
        <v>0.028777321752410042</v>
      </c>
      <c r="H301" s="4">
        <f t="shared" si="46"/>
        <v>0.02720244344755178</v>
      </c>
      <c r="I301" s="4">
        <f t="shared" si="46"/>
        <v>0.01584423021857402</v>
      </c>
      <c r="J301" s="4">
        <f t="shared" si="46"/>
        <v>0.04672138971079508</v>
      </c>
      <c r="K301" s="4">
        <f>K300/17317</f>
        <v>0.0530692383207253</v>
      </c>
      <c r="L301" s="4">
        <f>L300/17317</f>
        <v>0.041519893746029914</v>
      </c>
      <c r="M301" s="4">
        <f>M300/17317</f>
        <v>0.8400415776404689</v>
      </c>
      <c r="N301" s="4">
        <f>N300/17317</f>
        <v>0.06536929029277588</v>
      </c>
      <c r="O301" s="4">
        <f>O300/276</f>
        <v>1</v>
      </c>
      <c r="P301" s="4">
        <f>P300/118</f>
        <v>1</v>
      </c>
      <c r="Q301" s="4">
        <f>Q300/161</f>
        <v>1</v>
      </c>
      <c r="R301" s="4">
        <f>R300/58</f>
        <v>1</v>
      </c>
    </row>
    <row r="302" spans="2:18" ht="4.5" customHeight="1"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9.75" customHeight="1">
      <c r="A303" s="3" t="s">
        <v>109</v>
      </c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2:18" ht="9.75" customHeight="1">
      <c r="B304" s="5" t="s">
        <v>99</v>
      </c>
      <c r="C304" s="2">
        <v>636</v>
      </c>
      <c r="D304" s="2">
        <v>16174</v>
      </c>
      <c r="E304" s="2">
        <v>395</v>
      </c>
      <c r="F304" s="2">
        <v>14240</v>
      </c>
      <c r="G304" s="2">
        <v>360</v>
      </c>
      <c r="H304" s="2">
        <v>524</v>
      </c>
      <c r="I304" s="2">
        <v>268</v>
      </c>
      <c r="J304" s="2">
        <v>616</v>
      </c>
      <c r="K304" s="2">
        <v>1426</v>
      </c>
      <c r="L304" s="2">
        <v>1328</v>
      </c>
      <c r="M304" s="2">
        <v>57752</v>
      </c>
      <c r="N304" s="2">
        <v>1657</v>
      </c>
      <c r="O304" s="2">
        <v>551</v>
      </c>
      <c r="P304" s="2">
        <v>311</v>
      </c>
      <c r="Q304" s="2">
        <v>491</v>
      </c>
      <c r="R304" s="2">
        <v>41</v>
      </c>
    </row>
    <row r="305" spans="1:18" ht="9.75" customHeight="1">
      <c r="A305" s="3" t="s">
        <v>117</v>
      </c>
      <c r="C305" s="2">
        <v>636</v>
      </c>
      <c r="D305" s="2">
        <v>16174</v>
      </c>
      <c r="E305" s="2">
        <v>395</v>
      </c>
      <c r="F305" s="2">
        <v>14240</v>
      </c>
      <c r="G305" s="2">
        <v>360</v>
      </c>
      <c r="H305" s="2">
        <v>524</v>
      </c>
      <c r="I305" s="2">
        <v>268</v>
      </c>
      <c r="J305" s="2">
        <v>616</v>
      </c>
      <c r="K305" s="2">
        <v>1426</v>
      </c>
      <c r="L305" s="2">
        <v>1328</v>
      </c>
      <c r="M305" s="2">
        <v>57752</v>
      </c>
      <c r="N305" s="2">
        <v>1657</v>
      </c>
      <c r="O305" s="2">
        <v>551</v>
      </c>
      <c r="P305" s="2">
        <v>311</v>
      </c>
      <c r="Q305" s="2">
        <v>491</v>
      </c>
      <c r="R305" s="2">
        <v>41</v>
      </c>
    </row>
    <row r="306" spans="2:18" s="4" customFormat="1" ht="9.75" customHeight="1">
      <c r="B306" s="6" t="s">
        <v>118</v>
      </c>
      <c r="C306" s="4">
        <f aca="true" t="shared" si="47" ref="C306:J306">C305/33213</f>
        <v>0.019149128353355614</v>
      </c>
      <c r="D306" s="4">
        <f t="shared" si="47"/>
        <v>0.4869779905458706</v>
      </c>
      <c r="E306" s="4">
        <f t="shared" si="47"/>
        <v>0.011892933489898535</v>
      </c>
      <c r="F306" s="4">
        <f t="shared" si="47"/>
        <v>0.428747779483937</v>
      </c>
      <c r="G306" s="4">
        <f t="shared" si="47"/>
        <v>0.010839129256616386</v>
      </c>
      <c r="H306" s="4">
        <f t="shared" si="47"/>
        <v>0.015776954806852737</v>
      </c>
      <c r="I306" s="4">
        <f t="shared" si="47"/>
        <v>0.008069129557703308</v>
      </c>
      <c r="J306" s="4">
        <f t="shared" si="47"/>
        <v>0.018546954505765816</v>
      </c>
      <c r="K306" s="4">
        <f>K305/62163</f>
        <v>0.022939690812862956</v>
      </c>
      <c r="L306" s="4">
        <f>L305/62163</f>
        <v>0.021363190322217396</v>
      </c>
      <c r="M306" s="4">
        <f>M305/62163</f>
        <v>0.9290413911812493</v>
      </c>
      <c r="N306" s="4">
        <f>N305/62163</f>
        <v>0.02665572768367035</v>
      </c>
      <c r="O306" s="4">
        <f>O305/551</f>
        <v>1</v>
      </c>
      <c r="P306" s="4">
        <f>P305/311</f>
        <v>1</v>
      </c>
      <c r="Q306" s="4">
        <f>Q305/491</f>
        <v>1</v>
      </c>
      <c r="R306" s="4">
        <f>R305/41</f>
        <v>1</v>
      </c>
    </row>
    <row r="307" spans="2:18" ht="4.5" customHeight="1"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9.75" customHeight="1">
      <c r="A308" s="3" t="s">
        <v>111</v>
      </c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2:18" ht="9.75" customHeight="1">
      <c r="B309" s="5" t="s">
        <v>101</v>
      </c>
      <c r="C309" s="2">
        <v>378</v>
      </c>
      <c r="D309" s="2">
        <v>4674</v>
      </c>
      <c r="E309" s="2">
        <v>149</v>
      </c>
      <c r="F309" s="2">
        <v>4442</v>
      </c>
      <c r="G309" s="2">
        <v>180</v>
      </c>
      <c r="H309" s="2">
        <v>165</v>
      </c>
      <c r="I309" s="2">
        <v>163</v>
      </c>
      <c r="J309" s="2">
        <v>187</v>
      </c>
      <c r="K309" s="2">
        <v>587</v>
      </c>
      <c r="L309" s="2">
        <v>504</v>
      </c>
      <c r="M309" s="2">
        <v>14905</v>
      </c>
      <c r="N309" s="2">
        <v>644</v>
      </c>
      <c r="O309" s="2">
        <v>228</v>
      </c>
      <c r="P309" s="2">
        <v>62</v>
      </c>
      <c r="Q309" s="2">
        <v>101</v>
      </c>
      <c r="R309" s="2">
        <v>19</v>
      </c>
    </row>
    <row r="310" spans="2:18" ht="9.75" customHeight="1">
      <c r="B310" s="5" t="s">
        <v>110</v>
      </c>
      <c r="C310" s="2">
        <v>673</v>
      </c>
      <c r="D310" s="2">
        <v>9900</v>
      </c>
      <c r="E310" s="2">
        <v>262</v>
      </c>
      <c r="F310" s="2">
        <v>8045</v>
      </c>
      <c r="G310" s="2">
        <v>275</v>
      </c>
      <c r="H310" s="2">
        <v>339</v>
      </c>
      <c r="I310" s="2">
        <v>263</v>
      </c>
      <c r="J310" s="2">
        <v>383</v>
      </c>
      <c r="K310" s="2">
        <v>911</v>
      </c>
      <c r="L310" s="2">
        <v>791</v>
      </c>
      <c r="M310" s="2">
        <v>34033</v>
      </c>
      <c r="N310" s="2">
        <v>849</v>
      </c>
      <c r="O310" s="2">
        <v>422</v>
      </c>
      <c r="P310" s="2">
        <v>191</v>
      </c>
      <c r="Q310" s="2">
        <v>287</v>
      </c>
      <c r="R310" s="2">
        <v>32</v>
      </c>
    </row>
    <row r="311" spans="1:18" ht="9.75" customHeight="1">
      <c r="A311" s="3" t="s">
        <v>117</v>
      </c>
      <c r="C311" s="2">
        <v>1051</v>
      </c>
      <c r="D311" s="2">
        <v>14574</v>
      </c>
      <c r="E311" s="2">
        <v>411</v>
      </c>
      <c r="F311" s="2">
        <v>12487</v>
      </c>
      <c r="G311" s="2">
        <v>455</v>
      </c>
      <c r="H311" s="2">
        <v>504</v>
      </c>
      <c r="I311" s="2">
        <v>426</v>
      </c>
      <c r="J311" s="2">
        <v>570</v>
      </c>
      <c r="K311" s="2">
        <v>1498</v>
      </c>
      <c r="L311" s="2">
        <v>1295</v>
      </c>
      <c r="M311" s="2">
        <v>48938</v>
      </c>
      <c r="N311" s="2">
        <v>1493</v>
      </c>
      <c r="O311" s="2">
        <v>650</v>
      </c>
      <c r="P311" s="2">
        <v>253</v>
      </c>
      <c r="Q311" s="2">
        <v>388</v>
      </c>
      <c r="R311" s="2">
        <v>51</v>
      </c>
    </row>
    <row r="312" spans="2:18" s="4" customFormat="1" ht="9.75" customHeight="1">
      <c r="B312" s="6" t="s">
        <v>118</v>
      </c>
      <c r="C312" s="4">
        <f aca="true" t="shared" si="48" ref="C312:J312">C311/30478</f>
        <v>0.03448389001903012</v>
      </c>
      <c r="D312" s="4">
        <f t="shared" si="48"/>
        <v>0.47818098300413414</v>
      </c>
      <c r="E312" s="4">
        <f t="shared" si="48"/>
        <v>0.013485136820001312</v>
      </c>
      <c r="F312" s="4">
        <f t="shared" si="48"/>
        <v>0.4097053612441761</v>
      </c>
      <c r="G312" s="4">
        <f t="shared" si="48"/>
        <v>0.014928801102434544</v>
      </c>
      <c r="H312" s="4">
        <f t="shared" si="48"/>
        <v>0.016536518144235186</v>
      </c>
      <c r="I312" s="4">
        <f t="shared" si="48"/>
        <v>0.01397729509810355</v>
      </c>
      <c r="J312" s="4">
        <f t="shared" si="48"/>
        <v>0.01870201456788503</v>
      </c>
      <c r="K312" s="4">
        <f>K311/53224</f>
        <v>0.028145197655193147</v>
      </c>
      <c r="L312" s="4">
        <f>L311/53224</f>
        <v>0.02433112881406884</v>
      </c>
      <c r="M312" s="4">
        <f>M311/53224</f>
        <v>0.9194724184578386</v>
      </c>
      <c r="N312" s="4">
        <f>N311/53224</f>
        <v>0.028051255072899444</v>
      </c>
      <c r="O312" s="4">
        <f>O311/650</f>
        <v>1</v>
      </c>
      <c r="P312" s="4">
        <f>P311/253</f>
        <v>1</v>
      </c>
      <c r="Q312" s="4">
        <f>Q311/388</f>
        <v>1</v>
      </c>
      <c r="R312" s="4">
        <f>R311/51</f>
        <v>1</v>
      </c>
    </row>
    <row r="313" spans="2:18" ht="4.5" customHeight="1"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9.75" customHeight="1">
      <c r="A314" s="3" t="s">
        <v>112</v>
      </c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2:18" ht="9.75" customHeight="1">
      <c r="B315" s="5" t="s">
        <v>110</v>
      </c>
      <c r="C315" s="2">
        <v>1677</v>
      </c>
      <c r="D315" s="2">
        <v>27237</v>
      </c>
      <c r="E315" s="2">
        <v>761</v>
      </c>
      <c r="F315" s="2">
        <v>23134</v>
      </c>
      <c r="G315" s="2">
        <v>565</v>
      </c>
      <c r="H315" s="2">
        <v>805</v>
      </c>
      <c r="I315" s="2">
        <v>591</v>
      </c>
      <c r="J315" s="2">
        <v>931</v>
      </c>
      <c r="K315" s="2">
        <v>1555</v>
      </c>
      <c r="L315" s="2">
        <v>1396</v>
      </c>
      <c r="M315" s="2">
        <v>75347</v>
      </c>
      <c r="N315" s="2">
        <v>1431</v>
      </c>
      <c r="O315" s="2">
        <v>741</v>
      </c>
      <c r="P315" s="2">
        <v>639</v>
      </c>
      <c r="Q315" s="2">
        <v>584</v>
      </c>
      <c r="R315" s="2">
        <v>64</v>
      </c>
    </row>
    <row r="316" spans="1:18" ht="9.75" customHeight="1">
      <c r="A316" s="3" t="s">
        <v>117</v>
      </c>
      <c r="C316" s="2">
        <v>1677</v>
      </c>
      <c r="D316" s="2">
        <v>27237</v>
      </c>
      <c r="E316" s="2">
        <v>761</v>
      </c>
      <c r="F316" s="2">
        <v>23134</v>
      </c>
      <c r="G316" s="2">
        <v>565</v>
      </c>
      <c r="H316" s="2">
        <v>805</v>
      </c>
      <c r="I316" s="2">
        <v>591</v>
      </c>
      <c r="J316" s="2">
        <v>931</v>
      </c>
      <c r="K316" s="2">
        <v>1555</v>
      </c>
      <c r="L316" s="2">
        <v>1396</v>
      </c>
      <c r="M316" s="2">
        <v>75347</v>
      </c>
      <c r="N316" s="2">
        <v>1431</v>
      </c>
      <c r="O316" s="2">
        <v>741</v>
      </c>
      <c r="P316" s="2">
        <v>639</v>
      </c>
      <c r="Q316" s="2">
        <v>584</v>
      </c>
      <c r="R316" s="2">
        <v>64</v>
      </c>
    </row>
    <row r="317" spans="2:18" s="4" customFormat="1" ht="9.75" customHeight="1">
      <c r="B317" s="6" t="s">
        <v>118</v>
      </c>
      <c r="C317" s="4">
        <f aca="true" t="shared" si="49" ref="C317:J317">C316/55701</f>
        <v>0.030107179404319492</v>
      </c>
      <c r="D317" s="4">
        <f t="shared" si="49"/>
        <v>0.48898583508375076</v>
      </c>
      <c r="E317" s="4">
        <f t="shared" si="49"/>
        <v>0.01366223227590169</v>
      </c>
      <c r="F317" s="4">
        <f t="shared" si="49"/>
        <v>0.41532467998779193</v>
      </c>
      <c r="G317" s="4">
        <f t="shared" si="49"/>
        <v>0.010143444462397443</v>
      </c>
      <c r="H317" s="4">
        <f t="shared" si="49"/>
        <v>0.014452164234035296</v>
      </c>
      <c r="I317" s="4">
        <f t="shared" si="49"/>
        <v>0.01061022243765821</v>
      </c>
      <c r="J317" s="4">
        <f t="shared" si="49"/>
        <v>0.016714242114145166</v>
      </c>
      <c r="K317" s="4">
        <f>K316/79729</f>
        <v>0.01950356833774411</v>
      </c>
      <c r="L317" s="4">
        <f>L316/79729</f>
        <v>0.017509312797100177</v>
      </c>
      <c r="M317" s="4">
        <f>M316/79729</f>
        <v>0.9450388189993604</v>
      </c>
      <c r="N317" s="4">
        <f>N316/79729</f>
        <v>0.01794829986579538</v>
      </c>
      <c r="O317" s="4">
        <f>O316/741</f>
        <v>1</v>
      </c>
      <c r="P317" s="4">
        <f>P316/639</f>
        <v>1</v>
      </c>
      <c r="Q317" s="4">
        <f>Q316/584</f>
        <v>1</v>
      </c>
      <c r="R317" s="4">
        <f>R316/64</f>
        <v>1</v>
      </c>
    </row>
    <row r="318" spans="2:18" ht="4.5" customHeight="1"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9.75" customHeight="1">
      <c r="A319" s="3" t="s">
        <v>114</v>
      </c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2:18" ht="9.75" customHeight="1">
      <c r="B320" s="5" t="s">
        <v>113</v>
      </c>
      <c r="C320" s="2">
        <v>606</v>
      </c>
      <c r="D320" s="2">
        <v>3923</v>
      </c>
      <c r="E320" s="2">
        <v>180</v>
      </c>
      <c r="F320" s="2">
        <v>2639</v>
      </c>
      <c r="G320" s="2">
        <v>1011</v>
      </c>
      <c r="H320" s="2">
        <v>210</v>
      </c>
      <c r="I320" s="2">
        <v>273</v>
      </c>
      <c r="J320" s="2">
        <v>467</v>
      </c>
      <c r="K320" s="2">
        <v>309</v>
      </c>
      <c r="L320" s="2">
        <v>254</v>
      </c>
      <c r="M320" s="2">
        <v>4928</v>
      </c>
      <c r="N320" s="2">
        <v>452</v>
      </c>
      <c r="O320" s="2">
        <v>137</v>
      </c>
      <c r="P320" s="2">
        <v>21</v>
      </c>
      <c r="Q320" s="2">
        <v>16</v>
      </c>
      <c r="R320" s="2">
        <v>21</v>
      </c>
    </row>
    <row r="321" spans="2:18" ht="9.75" customHeight="1">
      <c r="B321" s="5" t="s">
        <v>110</v>
      </c>
      <c r="C321" s="2">
        <v>1510</v>
      </c>
      <c r="D321" s="2">
        <v>14996</v>
      </c>
      <c r="E321" s="2">
        <v>367</v>
      </c>
      <c r="F321" s="2">
        <v>14391</v>
      </c>
      <c r="G321" s="2">
        <v>822</v>
      </c>
      <c r="H321" s="2">
        <v>750</v>
      </c>
      <c r="I321" s="2">
        <v>375</v>
      </c>
      <c r="J321" s="2">
        <v>926</v>
      </c>
      <c r="K321" s="2">
        <v>697</v>
      </c>
      <c r="L321" s="2">
        <v>981</v>
      </c>
      <c r="M321" s="2">
        <v>17997</v>
      </c>
      <c r="N321" s="2">
        <v>875</v>
      </c>
      <c r="O321" s="2">
        <v>290</v>
      </c>
      <c r="P321" s="2">
        <v>135</v>
      </c>
      <c r="Q321" s="2">
        <v>137</v>
      </c>
      <c r="R321" s="2">
        <v>55</v>
      </c>
    </row>
    <row r="322" spans="1:18" ht="9.75" customHeight="1">
      <c r="A322" s="3" t="s">
        <v>117</v>
      </c>
      <c r="C322" s="2">
        <v>2116</v>
      </c>
      <c r="D322" s="2">
        <v>18919</v>
      </c>
      <c r="E322" s="2">
        <v>547</v>
      </c>
      <c r="F322" s="2">
        <v>17030</v>
      </c>
      <c r="G322" s="2">
        <v>1833</v>
      </c>
      <c r="H322" s="2">
        <v>960</v>
      </c>
      <c r="I322" s="2">
        <v>648</v>
      </c>
      <c r="J322" s="2">
        <v>1393</v>
      </c>
      <c r="K322" s="2">
        <v>1006</v>
      </c>
      <c r="L322" s="2">
        <v>1235</v>
      </c>
      <c r="M322" s="2">
        <v>22925</v>
      </c>
      <c r="N322" s="2">
        <v>1327</v>
      </c>
      <c r="O322" s="2">
        <v>427</v>
      </c>
      <c r="P322" s="2">
        <v>156</v>
      </c>
      <c r="Q322" s="2">
        <v>153</v>
      </c>
      <c r="R322" s="2">
        <v>76</v>
      </c>
    </row>
    <row r="323" spans="2:18" s="4" customFormat="1" ht="9.75" customHeight="1">
      <c r="B323" s="6" t="s">
        <v>118</v>
      </c>
      <c r="C323" s="4">
        <f aca="true" t="shared" si="50" ref="C323:J323">C322/43446</f>
        <v>0.04870413847074529</v>
      </c>
      <c r="D323" s="4">
        <f t="shared" si="50"/>
        <v>0.4354601114026608</v>
      </c>
      <c r="E323" s="4">
        <f t="shared" si="50"/>
        <v>0.012590342033789071</v>
      </c>
      <c r="F323" s="4">
        <f t="shared" si="50"/>
        <v>0.3919808497905446</v>
      </c>
      <c r="G323" s="4">
        <f t="shared" si="50"/>
        <v>0.0421903052064632</v>
      </c>
      <c r="H323" s="4">
        <f t="shared" si="50"/>
        <v>0.022096395525479907</v>
      </c>
      <c r="I323" s="4">
        <f t="shared" si="50"/>
        <v>0.014915066979698936</v>
      </c>
      <c r="J323" s="4">
        <f t="shared" si="50"/>
        <v>0.032062790590618236</v>
      </c>
      <c r="K323" s="4">
        <f>K322/26493</f>
        <v>0.03797229456837655</v>
      </c>
      <c r="L323" s="4">
        <f>L322/26493</f>
        <v>0.046616087268335035</v>
      </c>
      <c r="M323" s="4">
        <f>M322/26493</f>
        <v>0.8653229154871098</v>
      </c>
      <c r="N323" s="4">
        <f>N322/26493</f>
        <v>0.05008870267617861</v>
      </c>
      <c r="O323" s="4">
        <f>O322/427</f>
        <v>1</v>
      </c>
      <c r="P323" s="4">
        <f>P322/156</f>
        <v>1</v>
      </c>
      <c r="Q323" s="4">
        <f>Q322/153</f>
        <v>1</v>
      </c>
      <c r="R323" s="4">
        <f>R322/76</f>
        <v>1</v>
      </c>
    </row>
    <row r="324" spans="2:18" ht="4.5" customHeight="1"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9.75" customHeight="1">
      <c r="A325" s="3" t="s">
        <v>115</v>
      </c>
      <c r="B325" s="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2:18" ht="9.75" customHeight="1">
      <c r="B326" s="5" t="s">
        <v>110</v>
      </c>
      <c r="C326" s="2">
        <v>1298</v>
      </c>
      <c r="D326" s="2">
        <v>18816</v>
      </c>
      <c r="E326" s="2">
        <v>639</v>
      </c>
      <c r="F326" s="2">
        <v>16540</v>
      </c>
      <c r="G326" s="2">
        <v>417</v>
      </c>
      <c r="H326" s="2">
        <v>753</v>
      </c>
      <c r="I326" s="2">
        <v>332</v>
      </c>
      <c r="J326" s="2">
        <v>924</v>
      </c>
      <c r="K326" s="2">
        <v>1594</v>
      </c>
      <c r="L326" s="2">
        <v>1460</v>
      </c>
      <c r="M326" s="2">
        <v>60134</v>
      </c>
      <c r="N326" s="2">
        <v>1209</v>
      </c>
      <c r="O326" s="2">
        <v>703</v>
      </c>
      <c r="P326" s="2">
        <v>319</v>
      </c>
      <c r="Q326" s="2">
        <v>472</v>
      </c>
      <c r="R326" s="2">
        <v>43</v>
      </c>
    </row>
    <row r="327" spans="1:18" ht="9.75" customHeight="1">
      <c r="A327" s="3" t="s">
        <v>117</v>
      </c>
      <c r="C327" s="2">
        <v>1298</v>
      </c>
      <c r="D327" s="2">
        <v>18816</v>
      </c>
      <c r="E327" s="2">
        <v>639</v>
      </c>
      <c r="F327" s="2">
        <v>16540</v>
      </c>
      <c r="G327" s="2">
        <v>417</v>
      </c>
      <c r="H327" s="2">
        <v>753</v>
      </c>
      <c r="I327" s="2">
        <v>332</v>
      </c>
      <c r="J327" s="2">
        <v>924</v>
      </c>
      <c r="K327" s="2">
        <v>1594</v>
      </c>
      <c r="L327" s="2">
        <v>1460</v>
      </c>
      <c r="M327" s="2">
        <v>60134</v>
      </c>
      <c r="N327" s="2">
        <v>1209</v>
      </c>
      <c r="O327" s="2">
        <v>703</v>
      </c>
      <c r="P327" s="2">
        <v>319</v>
      </c>
      <c r="Q327" s="2">
        <v>472</v>
      </c>
      <c r="R327" s="2">
        <v>43</v>
      </c>
    </row>
    <row r="328" spans="2:18" s="4" customFormat="1" ht="9.75" customHeight="1">
      <c r="B328" s="6" t="s">
        <v>118</v>
      </c>
      <c r="C328" s="4">
        <f aca="true" t="shared" si="51" ref="C328:J328">C327/39719</f>
        <v>0.032679574007402</v>
      </c>
      <c r="D328" s="4">
        <f t="shared" si="51"/>
        <v>0.47372793876985825</v>
      </c>
      <c r="E328" s="4">
        <f t="shared" si="51"/>
        <v>0.016088018328759536</v>
      </c>
      <c r="F328" s="4">
        <f t="shared" si="51"/>
        <v>0.4164253883531811</v>
      </c>
      <c r="G328" s="4">
        <f t="shared" si="51"/>
        <v>0.01049875374505904</v>
      </c>
      <c r="H328" s="4">
        <f t="shared" si="51"/>
        <v>0.018958181223092223</v>
      </c>
      <c r="I328" s="4">
        <f t="shared" si="51"/>
        <v>0.008358720008056597</v>
      </c>
      <c r="J328" s="4">
        <f t="shared" si="51"/>
        <v>0.023263425564591253</v>
      </c>
      <c r="K328" s="4">
        <f>K327/64397</f>
        <v>0.024752705871391525</v>
      </c>
      <c r="L328" s="4">
        <f>L327/64397</f>
        <v>0.022671863596130253</v>
      </c>
      <c r="M328" s="4">
        <f>M327/64397</f>
        <v>0.9338012640340388</v>
      </c>
      <c r="N328" s="4">
        <f>N327/64397</f>
        <v>0.018774166498439368</v>
      </c>
      <c r="O328" s="4">
        <f>O327/703</f>
        <v>1</v>
      </c>
      <c r="P328" s="4">
        <f>P327/319</f>
        <v>1</v>
      </c>
      <c r="Q328" s="4">
        <f>Q327/472</f>
        <v>1</v>
      </c>
      <c r="R328" s="4">
        <f>R327/43</f>
        <v>1</v>
      </c>
    </row>
    <row r="329" spans="2:18" ht="4.5" customHeight="1"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9.75" customHeight="1">
      <c r="A330" s="3" t="s">
        <v>116</v>
      </c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2:18" ht="9.75" customHeight="1">
      <c r="B331" s="5" t="s">
        <v>110</v>
      </c>
      <c r="C331" s="2">
        <v>1532</v>
      </c>
      <c r="D331" s="2">
        <v>21074</v>
      </c>
      <c r="E331" s="2">
        <v>486</v>
      </c>
      <c r="F331" s="2">
        <v>17837</v>
      </c>
      <c r="G331" s="2">
        <v>450</v>
      </c>
      <c r="H331" s="2">
        <v>796</v>
      </c>
      <c r="I331" s="2">
        <v>288</v>
      </c>
      <c r="J331" s="2">
        <v>759</v>
      </c>
      <c r="K331" s="2">
        <v>855</v>
      </c>
      <c r="L331" s="2">
        <v>745</v>
      </c>
      <c r="M331" s="2">
        <v>28432</v>
      </c>
      <c r="N331" s="2">
        <v>811</v>
      </c>
      <c r="O331" s="2">
        <v>472</v>
      </c>
      <c r="P331" s="2">
        <v>683</v>
      </c>
      <c r="Q331" s="2">
        <v>430</v>
      </c>
      <c r="R331" s="2">
        <v>82</v>
      </c>
    </row>
    <row r="332" spans="1:18" ht="9.75" customHeight="1">
      <c r="A332" s="3" t="s">
        <v>117</v>
      </c>
      <c r="C332" s="2">
        <v>1532</v>
      </c>
      <c r="D332" s="2">
        <v>21074</v>
      </c>
      <c r="E332" s="2">
        <v>486</v>
      </c>
      <c r="F332" s="2">
        <v>17837</v>
      </c>
      <c r="G332" s="2">
        <v>450</v>
      </c>
      <c r="H332" s="2">
        <v>796</v>
      </c>
      <c r="I332" s="2">
        <v>288</v>
      </c>
      <c r="J332" s="2">
        <v>759</v>
      </c>
      <c r="K332" s="2">
        <v>855</v>
      </c>
      <c r="L332" s="2">
        <v>745</v>
      </c>
      <c r="M332" s="2">
        <v>28432</v>
      </c>
      <c r="N332" s="2">
        <v>811</v>
      </c>
      <c r="O332" s="2">
        <v>472</v>
      </c>
      <c r="P332" s="2">
        <v>683</v>
      </c>
      <c r="Q332" s="2">
        <v>430</v>
      </c>
      <c r="R332" s="2">
        <v>82</v>
      </c>
    </row>
    <row r="333" spans="2:18" s="4" customFormat="1" ht="9.75" customHeight="1">
      <c r="B333" s="6" t="s">
        <v>118</v>
      </c>
      <c r="C333" s="4">
        <f aca="true" t="shared" si="52" ref="C333:J333">C332/43222</f>
        <v>0.03544491231317385</v>
      </c>
      <c r="D333" s="4">
        <f t="shared" si="52"/>
        <v>0.4875757715977974</v>
      </c>
      <c r="E333" s="4">
        <f t="shared" si="52"/>
        <v>0.011244273749479432</v>
      </c>
      <c r="F333" s="4">
        <f t="shared" si="52"/>
        <v>0.4126833556984869</v>
      </c>
      <c r="G333" s="4">
        <f t="shared" si="52"/>
        <v>0.010411364582851326</v>
      </c>
      <c r="H333" s="4">
        <f t="shared" si="52"/>
        <v>0.018416547128777012</v>
      </c>
      <c r="I333" s="4">
        <f t="shared" si="52"/>
        <v>0.006663273333024848</v>
      </c>
      <c r="J333" s="4">
        <f t="shared" si="52"/>
        <v>0.017560501596409237</v>
      </c>
      <c r="K333" s="4">
        <f>K332/30843</f>
        <v>0.027721038809454333</v>
      </c>
      <c r="L333" s="4">
        <f>L332/30843</f>
        <v>0.024154589371980676</v>
      </c>
      <c r="M333" s="4">
        <f>M332/30843</f>
        <v>0.9218299127841001</v>
      </c>
      <c r="N333" s="4">
        <f>N332/30843</f>
        <v>0.02629445903446487</v>
      </c>
      <c r="O333" s="4">
        <f>O332/472</f>
        <v>1</v>
      </c>
      <c r="P333" s="4">
        <f>P332/683</f>
        <v>1</v>
      </c>
      <c r="Q333" s="4">
        <f>Q332/430</f>
        <v>1</v>
      </c>
      <c r="R333" s="4">
        <f>R332/82</f>
        <v>1</v>
      </c>
    </row>
    <row r="334" spans="2:18" ht="4.5" customHeight="1"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2:18" ht="9"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</sheetData>
  <printOptions/>
  <pageMargins left="0.4" right="0.4" top="0.89" bottom="0.8" header="0.3" footer="0.3"/>
  <pageSetup firstPageNumber="53" useFirstPageNumber="1" fitToHeight="0" fitToWidth="0" horizontalDpi="600" verticalDpi="600" orientation="portrait" r:id="rId1"/>
  <headerFooter alignWithMargins="0">
    <oddHeader>&amp;C&amp;"Arial,Bold"&amp;11Supplement to the Statement of Vote
Counties by Congressional Districts
for Governor</oddHeader>
    <oddFooter>&amp;C&amp;"Arial,Bold"&amp;8&amp;P</oddFooter>
  </headerFooter>
  <rowBreaks count="4" manualBreakCount="4">
    <brk id="71" max="255" man="1"/>
    <brk id="136" max="255" man="1"/>
    <brk id="207" max="255" man="1"/>
    <brk id="280" max="255" man="1"/>
  </rowBreaks>
  <colBreaks count="1" manualBreakCount="1">
    <brk id="10" max="3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2006-11-10T20:43:40Z</cp:lastPrinted>
  <dcterms:created xsi:type="dcterms:W3CDTF">2006-11-10T20:45:17Z</dcterms:created>
  <dcterms:modified xsi:type="dcterms:W3CDTF">2006-11-10T20:45:17Z</dcterms:modified>
  <cp:category/>
  <cp:version/>
  <cp:contentType/>
  <cp:contentStatus/>
</cp:coreProperties>
</file>