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3300" windowWidth="14400" windowHeight="8640" tabRatio="500" activeTab="0"/>
  </bookViews>
  <sheets>
    <sheet name="Sheet1" sheetId="1" r:id="rId1"/>
  </sheets>
  <definedNames>
    <definedName name="_xlnm.Print_Area" localSheetId="0">'Sheet1'!$A$1:$R$273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<sst xmlns="http://schemas.openxmlformats.org/spreadsheetml/2006/main" count="262" uniqueCount="122">
  <si>
    <t>DEM</t>
  </si>
  <si>
    <t>REP</t>
  </si>
  <si>
    <t>AI</t>
  </si>
  <si>
    <t>GRN</t>
  </si>
  <si>
    <t>LIB</t>
  </si>
  <si>
    <t>PF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</si>
  <si>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</si>
  <si>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</si>
  <si>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</si>
  <si>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</si>
  <si>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</si>
  <si>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</si>
  <si>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</si>
  <si>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</si>
  <si>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</si>
  <si>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</si>
  <si>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</si>
  <si>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</si>
  <si>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</t>
  </si>
  <si>
    <t>Humboldt</t>
  </si>
  <si>
    <t>Lake</t>
  </si>
  <si>
    <t>Mendocino</t>
  </si>
  <si>
    <t>Napa</t>
  </si>
  <si>
    <t>Solano</t>
  </si>
  <si>
    <t>Sonoma</t>
  </si>
  <si>
    <t>Senate District 2</t>
  </si>
  <si>
    <t>Marin</t>
  </si>
  <si>
    <t>San Francisco</t>
  </si>
  <si>
    <t>Senate District 3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</si>
  <si>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</si>
  <si>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</si>
  <si>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</si>
  <si>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</si>
  <si>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</si>
  <si>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</si>
  <si>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</si>
  <si>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</si>
  <si>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</si>
  <si>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</si>
  <si>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</t>
  </si>
  <si>
    <t>San Joaquin</t>
  </si>
  <si>
    <t>Yolo</t>
  </si>
  <si>
    <t>Senate District 5</t>
  </si>
  <si>
    <t>Senate District 6</t>
  </si>
  <si>
    <t>Contra Costa</t>
  </si>
  <si>
    <t>Senate District 7</t>
  </si>
  <si>
    <t>San Mateo</t>
  </si>
  <si>
    <t>Senate District 8</t>
  </si>
  <si>
    <t>Alameda</t>
  </si>
  <si>
    <t>Senate District 9</t>
  </si>
  <si>
    <t>Santa Clara</t>
  </si>
  <si>
    <t>Senate District 10</t>
  </si>
  <si>
    <t>Santa Cruz</t>
  </si>
  <si>
    <t>Senate District 11</t>
  </si>
  <si>
    <t>Madera</t>
  </si>
  <si>
    <t>Merced</t>
  </si>
  <si>
    <t>Monterey</t>
  </si>
  <si>
    <t>San Benito</t>
  </si>
  <si>
    <t>Stanislaus</t>
  </si>
  <si>
    <t>Senate District 12</t>
  </si>
  <si>
    <t>Senate District 13</t>
  </si>
  <si>
    <t>Fresno</t>
  </si>
  <si>
    <t>Mariposa</t>
  </si>
  <si>
    <t>Tuolumne</t>
  </si>
  <si>
    <t>Senate District 14</t>
  </si>
  <si>
    <t>San Luis Obispo</t>
  </si>
  <si>
    <t>Santa Barbara</t>
  </si>
  <si>
    <t>Senate District 15</t>
  </si>
  <si>
    <t>Kern</t>
  </si>
  <si>
    <t>Kings</t>
  </si>
  <si>
    <t>Tulare</t>
  </si>
  <si>
    <t>Senate District 16</t>
  </si>
  <si>
    <t>Los Angeles</t>
  </si>
  <si>
    <t>San Bernardino</t>
  </si>
  <si>
    <t>Ventura</t>
  </si>
  <si>
    <t>Senate District 17</t>
  </si>
  <si>
    <t>Inyo</t>
  </si>
  <si>
    <t>Senate District 18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</si>
  <si>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</si>
  <si>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</si>
  <si>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</si>
  <si>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</si>
  <si>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</si>
  <si>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</si>
  <si>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</si>
  <si>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</si>
  <si>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</si>
  <si>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</si>
  <si>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</si>
  <si>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</si>
  <si>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</si>
  <si>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Riverside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</si>
  <si>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</si>
  <si>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</si>
  <si>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</si>
  <si>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</si>
  <si>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</si>
  <si>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</si>
  <si>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</si>
  <si>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</si>
  <si>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</si>
  <si>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</si>
  <si>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</si>
  <si>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</si>
  <si>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</si>
  <si>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Percent, Total by Party</t>
  </si>
  <si>
    <t>Barbara 
Becnel</t>
  </si>
  <si>
    <t>Phil 
Angelides</t>
  </si>
  <si>
    <t>Vibert 
Greene</t>
  </si>
  <si>
    <t>Steve 
Westly</t>
  </si>
  <si>
    <t>Frank A. 
Macaluso, Jr.</t>
  </si>
  <si>
    <t>Michael 
Strimling</t>
  </si>
  <si>
    <t>Jerald Robert 
Gerst</t>
  </si>
  <si>
    <t>Joe 
Brouillette</t>
  </si>
  <si>
    <t>Bill 
Chambers</t>
  </si>
  <si>
    <t>Jeffrey R. 
Burns</t>
  </si>
  <si>
    <t>Edward C. 
Noonan</t>
  </si>
  <si>
    <t>Peter Miguel 
Camejo</t>
  </si>
  <si>
    <t>Art 
Olivier</t>
  </si>
  <si>
    <t>Janice 
Jordan</t>
  </si>
  <si>
    <t>Robert C. 
Newman II</t>
  </si>
  <si>
    <t>Arnold 
Schwarzenegger*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</si>
</sst>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"/>
  <sheetViews>
    <sheetView tabSelected="1" showOutlineSymbols="0" view="pageBreakPreview" zoomScaleSheetLayoutView="100" workbookViewId="0" topLeftCell="A1">
      <selection activeCell="A19" sqref="A19"/>
    </sheetView>
  </sheetViews>
  <sheetFormatPr defaultColWidth="9.140625" defaultRowHeight="12.75" customHeight="1"/>
  <cols>
    <col min="1" max="1" width="2.7109375" style="1" customWidth="1"/>
    <col min="2" max="2" width="18.8515625" style="5" customWidth="1"/>
    <col min="3" max="3" width="9.28125" style="1" customWidth="1"/>
    <col min="4" max="4" width="11.421875" style="1" customWidth="1"/>
    <col min="5" max="5" width="8.7109375" style="1" customWidth="1"/>
    <col min="6" max="7" width="11.28125" style="1" customWidth="1"/>
    <col min="8" max="8" width="8.140625" style="1" bestFit="1" customWidth="1"/>
    <col min="9" max="9" width="6.7109375" style="1" customWidth="1"/>
    <col min="10" max="10" width="9.140625" style="1" bestFit="1" customWidth="1"/>
    <col min="11" max="11" width="10.421875" style="1" customWidth="1"/>
    <col min="12" max="12" width="10.140625" style="1" customWidth="1"/>
    <col min="13" max="13" width="15.140625" style="1" bestFit="1" customWidth="1"/>
    <col min="14" max="14" width="9.7109375" style="1" customWidth="1"/>
    <col min="15" max="15" width="9.140625" style="1" customWidth="1"/>
    <col min="16" max="16" width="9.421875" style="1" customWidth="1"/>
    <col min="17" max="17" width="7.140625" style="1" customWidth="1"/>
    <col min="18" max="18" width="6.421875" style="1" bestFit="1" customWidth="1"/>
    <col min="19" max="16384" width="7.7109375" style="1" customWidth="1"/>
  </cols>
  <sheetData>
    <row r="1" spans="3:18" s="13" customFormat="1" ht="36" customHeight="1">
      <c r="C1" s="12" t="s">
        <v>106</v>
      </c>
      <c r="D1" s="12" t="s">
        <v>107</v>
      </c>
      <c r="E1" s="12" t="s">
        <v>108</v>
      </c>
      <c r="F1" s="12" t="s">
        <v>109</v>
      </c>
      <c r="G1" s="12" t="s">
        <v>110</v>
      </c>
      <c r="H1" s="12" t="s">
        <v>111</v>
      </c>
      <c r="I1" s="12" t="s">
        <v>112</v>
      </c>
      <c r="J1" s="12" t="s">
        <v>113</v>
      </c>
      <c r="K1" s="12" t="s">
        <v>114</v>
      </c>
      <c r="L1" s="12" t="s">
        <v>115</v>
      </c>
      <c r="M1" s="12" t="s">
        <v>121</v>
      </c>
      <c r="N1" s="12" t="s">
        <v>120</v>
      </c>
      <c r="O1" s="12" t="s">
        <v>116</v>
      </c>
      <c r="P1" s="12" t="s">
        <v>117</v>
      </c>
      <c r="Q1" s="12" t="s">
        <v>118</v>
      </c>
      <c r="R1" s="12" t="s">
        <v>119</v>
      </c>
    </row>
    <row r="2" spans="3:18" s="11" customFormat="1" ht="9"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2</v>
      </c>
      <c r="P2" s="11" t="s">
        <v>3</v>
      </c>
      <c r="Q2" s="11" t="s">
        <v>4</v>
      </c>
      <c r="R2" s="11" t="s">
        <v>5</v>
      </c>
    </row>
    <row r="3" spans="1:2" s="10" customFormat="1" ht="9.75" customHeight="1">
      <c r="A3" s="8" t="s">
        <v>18</v>
      </c>
      <c r="B3" s="9"/>
    </row>
    <row r="4" spans="2:18" ht="9.75" customHeight="1">
      <c r="B4" s="5" t="s">
        <v>6</v>
      </c>
      <c r="C4" s="2">
        <v>12</v>
      </c>
      <c r="D4" s="2">
        <v>81</v>
      </c>
      <c r="E4" s="2">
        <v>3</v>
      </c>
      <c r="F4" s="2">
        <v>59</v>
      </c>
      <c r="G4" s="2">
        <v>1</v>
      </c>
      <c r="H4" s="2">
        <v>9</v>
      </c>
      <c r="I4" s="2">
        <v>1</v>
      </c>
      <c r="J4" s="2">
        <v>0</v>
      </c>
      <c r="K4" s="2">
        <v>11</v>
      </c>
      <c r="L4" s="2">
        <v>6</v>
      </c>
      <c r="M4" s="2">
        <v>163</v>
      </c>
      <c r="N4" s="2">
        <v>8</v>
      </c>
      <c r="O4" s="2">
        <v>1</v>
      </c>
      <c r="P4" s="2">
        <v>8</v>
      </c>
      <c r="Q4" s="2">
        <v>1</v>
      </c>
      <c r="R4" s="2">
        <v>1</v>
      </c>
    </row>
    <row r="5" spans="2:18" ht="9.75" customHeight="1">
      <c r="B5" s="5" t="s">
        <v>7</v>
      </c>
      <c r="C5" s="2">
        <v>117</v>
      </c>
      <c r="D5" s="2">
        <v>1939</v>
      </c>
      <c r="E5" s="2">
        <v>67</v>
      </c>
      <c r="F5" s="2">
        <v>1976</v>
      </c>
      <c r="G5" s="2">
        <v>47</v>
      </c>
      <c r="H5" s="2">
        <v>55</v>
      </c>
      <c r="I5" s="2">
        <v>43</v>
      </c>
      <c r="J5" s="2">
        <v>73</v>
      </c>
      <c r="K5" s="2">
        <v>201</v>
      </c>
      <c r="L5" s="2">
        <v>107</v>
      </c>
      <c r="M5" s="2">
        <v>5029</v>
      </c>
      <c r="N5" s="2">
        <v>174</v>
      </c>
      <c r="O5" s="2">
        <v>72</v>
      </c>
      <c r="P5" s="2">
        <v>58</v>
      </c>
      <c r="Q5" s="2">
        <v>47</v>
      </c>
      <c r="R5" s="2">
        <v>2</v>
      </c>
    </row>
    <row r="6" spans="2:18" ht="9.75" customHeight="1">
      <c r="B6" s="5" t="s">
        <v>8</v>
      </c>
      <c r="C6" s="2">
        <v>157</v>
      </c>
      <c r="D6" s="2">
        <v>2121</v>
      </c>
      <c r="E6" s="2">
        <v>88</v>
      </c>
      <c r="F6" s="2">
        <v>2061</v>
      </c>
      <c r="G6" s="2">
        <v>60</v>
      </c>
      <c r="H6" s="2">
        <v>50</v>
      </c>
      <c r="I6" s="2">
        <v>64</v>
      </c>
      <c r="J6" s="2">
        <v>100</v>
      </c>
      <c r="K6" s="2">
        <v>233</v>
      </c>
      <c r="L6" s="2">
        <v>160</v>
      </c>
      <c r="M6" s="2">
        <v>5105</v>
      </c>
      <c r="N6" s="2">
        <v>181</v>
      </c>
      <c r="O6" s="2">
        <v>94</v>
      </c>
      <c r="P6" s="2">
        <v>105</v>
      </c>
      <c r="Q6" s="2">
        <v>86</v>
      </c>
      <c r="R6" s="2">
        <v>12</v>
      </c>
    </row>
    <row r="7" spans="2:18" ht="9.75" customHeight="1">
      <c r="B7" s="5" t="s">
        <v>9</v>
      </c>
      <c r="C7" s="2">
        <v>464</v>
      </c>
      <c r="D7" s="2">
        <v>6399</v>
      </c>
      <c r="E7" s="2">
        <v>242</v>
      </c>
      <c r="F7" s="2">
        <v>6477</v>
      </c>
      <c r="G7" s="2">
        <v>111</v>
      </c>
      <c r="H7" s="2">
        <v>176</v>
      </c>
      <c r="I7" s="2">
        <v>102</v>
      </c>
      <c r="J7" s="2">
        <v>291</v>
      </c>
      <c r="K7" s="2">
        <v>601</v>
      </c>
      <c r="L7" s="2">
        <v>407</v>
      </c>
      <c r="M7" s="2">
        <v>19669</v>
      </c>
      <c r="N7" s="2">
        <v>455</v>
      </c>
      <c r="O7" s="2">
        <v>259</v>
      </c>
      <c r="P7" s="2">
        <v>299</v>
      </c>
      <c r="Q7" s="2">
        <v>149</v>
      </c>
      <c r="R7" s="2">
        <v>22</v>
      </c>
    </row>
    <row r="8" spans="2:18" ht="9.75" customHeight="1">
      <c r="B8" s="5" t="s">
        <v>10</v>
      </c>
      <c r="C8" s="2">
        <v>125</v>
      </c>
      <c r="D8" s="2">
        <v>766</v>
      </c>
      <c r="E8" s="2">
        <v>85</v>
      </c>
      <c r="F8" s="2">
        <v>941</v>
      </c>
      <c r="G8" s="2">
        <v>37</v>
      </c>
      <c r="H8" s="2">
        <v>59</v>
      </c>
      <c r="I8" s="2">
        <v>55</v>
      </c>
      <c r="J8" s="2">
        <v>80</v>
      </c>
      <c r="K8" s="2">
        <v>243</v>
      </c>
      <c r="L8" s="2">
        <v>293</v>
      </c>
      <c r="M8" s="2">
        <v>2517</v>
      </c>
      <c r="N8" s="2">
        <v>202</v>
      </c>
      <c r="O8" s="2">
        <v>101</v>
      </c>
      <c r="P8" s="2">
        <v>13</v>
      </c>
      <c r="Q8" s="2">
        <v>24</v>
      </c>
      <c r="R8" s="2">
        <v>3</v>
      </c>
    </row>
    <row r="9" spans="2:18" ht="9.75" customHeight="1">
      <c r="B9" s="5" t="s">
        <v>11</v>
      </c>
      <c r="C9" s="2">
        <v>58</v>
      </c>
      <c r="D9" s="2">
        <v>266</v>
      </c>
      <c r="E9" s="2">
        <v>25</v>
      </c>
      <c r="F9" s="2">
        <v>575</v>
      </c>
      <c r="G9" s="2">
        <v>10</v>
      </c>
      <c r="H9" s="2">
        <v>26</v>
      </c>
      <c r="I9" s="2">
        <v>30</v>
      </c>
      <c r="J9" s="2">
        <v>38</v>
      </c>
      <c r="K9" s="2">
        <v>89</v>
      </c>
      <c r="L9" s="2">
        <v>85</v>
      </c>
      <c r="M9" s="2">
        <v>1565</v>
      </c>
      <c r="N9" s="2">
        <v>134</v>
      </c>
      <c r="O9" s="2">
        <v>53</v>
      </c>
      <c r="P9" s="2">
        <v>11</v>
      </c>
      <c r="Q9" s="2">
        <v>17</v>
      </c>
      <c r="R9" s="2">
        <v>3</v>
      </c>
    </row>
    <row r="10" spans="2:18" ht="9.75" customHeight="1">
      <c r="B10" s="5" t="s">
        <v>12</v>
      </c>
      <c r="C10" s="2">
        <v>47</v>
      </c>
      <c r="D10" s="2">
        <v>472</v>
      </c>
      <c r="E10" s="2">
        <v>19</v>
      </c>
      <c r="F10" s="2">
        <v>412</v>
      </c>
      <c r="G10" s="2">
        <v>17</v>
      </c>
      <c r="H10" s="2">
        <v>22</v>
      </c>
      <c r="I10" s="2">
        <v>16</v>
      </c>
      <c r="J10" s="2">
        <v>41</v>
      </c>
      <c r="K10" s="2">
        <v>77</v>
      </c>
      <c r="L10" s="2">
        <v>65</v>
      </c>
      <c r="M10" s="2">
        <v>1172</v>
      </c>
      <c r="N10" s="2">
        <v>70</v>
      </c>
      <c r="O10" s="2">
        <v>29</v>
      </c>
      <c r="P10" s="2">
        <v>23</v>
      </c>
      <c r="Q10" s="2">
        <v>19</v>
      </c>
      <c r="R10" s="2">
        <v>3</v>
      </c>
    </row>
    <row r="11" spans="2:18" ht="9.75" customHeight="1">
      <c r="B11" s="5" t="s">
        <v>13</v>
      </c>
      <c r="C11" s="2">
        <v>51</v>
      </c>
      <c r="D11" s="2">
        <v>718</v>
      </c>
      <c r="E11" s="2">
        <v>26</v>
      </c>
      <c r="F11" s="2">
        <v>661</v>
      </c>
      <c r="G11" s="2">
        <v>9</v>
      </c>
      <c r="H11" s="2">
        <v>25</v>
      </c>
      <c r="I11" s="2">
        <v>11</v>
      </c>
      <c r="J11" s="2">
        <v>30</v>
      </c>
      <c r="K11" s="2">
        <v>55</v>
      </c>
      <c r="L11" s="2">
        <v>41</v>
      </c>
      <c r="M11" s="2">
        <v>1374</v>
      </c>
      <c r="N11" s="2">
        <v>37</v>
      </c>
      <c r="O11" s="2">
        <v>39</v>
      </c>
      <c r="P11" s="2">
        <v>60</v>
      </c>
      <c r="Q11" s="2">
        <v>23</v>
      </c>
      <c r="R11" s="2">
        <v>1</v>
      </c>
    </row>
    <row r="12" spans="2:18" ht="9.75" customHeight="1">
      <c r="B12" s="5" t="s">
        <v>14</v>
      </c>
      <c r="C12" s="2">
        <v>425</v>
      </c>
      <c r="D12" s="2">
        <v>7691</v>
      </c>
      <c r="E12" s="2">
        <v>210</v>
      </c>
      <c r="F12" s="2">
        <v>7347</v>
      </c>
      <c r="G12" s="2">
        <v>114</v>
      </c>
      <c r="H12" s="2">
        <v>175</v>
      </c>
      <c r="I12" s="2">
        <v>102</v>
      </c>
      <c r="J12" s="2">
        <v>252</v>
      </c>
      <c r="K12" s="2">
        <v>811</v>
      </c>
      <c r="L12" s="2">
        <v>515</v>
      </c>
      <c r="M12" s="2">
        <v>23721</v>
      </c>
      <c r="N12" s="2">
        <v>577</v>
      </c>
      <c r="O12" s="2">
        <v>250</v>
      </c>
      <c r="P12" s="2">
        <v>208</v>
      </c>
      <c r="Q12" s="2">
        <v>124</v>
      </c>
      <c r="R12" s="2">
        <v>22</v>
      </c>
    </row>
    <row r="13" spans="2:18" ht="9.75" customHeight="1">
      <c r="B13" s="5" t="s">
        <v>15</v>
      </c>
      <c r="C13" s="2">
        <v>85</v>
      </c>
      <c r="D13" s="2">
        <v>1062</v>
      </c>
      <c r="E13" s="2">
        <v>39</v>
      </c>
      <c r="F13" s="2">
        <v>983</v>
      </c>
      <c r="G13" s="2">
        <v>35</v>
      </c>
      <c r="H13" s="2">
        <v>48</v>
      </c>
      <c r="I13" s="2">
        <v>37</v>
      </c>
      <c r="J13" s="2">
        <v>58</v>
      </c>
      <c r="K13" s="2">
        <v>124</v>
      </c>
      <c r="L13" s="2">
        <v>88</v>
      </c>
      <c r="M13" s="2">
        <v>2895</v>
      </c>
      <c r="N13" s="2">
        <v>95</v>
      </c>
      <c r="O13" s="2">
        <v>60</v>
      </c>
      <c r="P13" s="2">
        <v>33</v>
      </c>
      <c r="Q13" s="2">
        <v>29</v>
      </c>
      <c r="R13" s="2">
        <v>6</v>
      </c>
    </row>
    <row r="14" spans="2:18" ht="9.75" customHeight="1">
      <c r="B14" s="5" t="s">
        <v>16</v>
      </c>
      <c r="C14" s="2">
        <v>486</v>
      </c>
      <c r="D14" s="2">
        <v>15685</v>
      </c>
      <c r="E14" s="2">
        <v>267</v>
      </c>
      <c r="F14" s="2">
        <v>14272</v>
      </c>
      <c r="G14" s="2">
        <v>244</v>
      </c>
      <c r="H14" s="2">
        <v>287</v>
      </c>
      <c r="I14" s="2">
        <v>159</v>
      </c>
      <c r="J14" s="2">
        <v>336</v>
      </c>
      <c r="K14" s="2">
        <v>954</v>
      </c>
      <c r="L14" s="2">
        <v>700</v>
      </c>
      <c r="M14" s="2">
        <v>33811</v>
      </c>
      <c r="N14" s="2">
        <v>771</v>
      </c>
      <c r="O14" s="2">
        <v>378</v>
      </c>
      <c r="P14" s="2">
        <v>246</v>
      </c>
      <c r="Q14" s="2">
        <v>222</v>
      </c>
      <c r="R14" s="2">
        <v>37</v>
      </c>
    </row>
    <row r="15" spans="2:18" ht="9.75" customHeight="1">
      <c r="B15" s="5" t="s">
        <v>17</v>
      </c>
      <c r="C15" s="2">
        <v>19</v>
      </c>
      <c r="D15" s="2">
        <v>165</v>
      </c>
      <c r="E15" s="2">
        <v>11</v>
      </c>
      <c r="F15" s="2">
        <v>192</v>
      </c>
      <c r="G15" s="2">
        <v>9</v>
      </c>
      <c r="H15" s="2">
        <v>8</v>
      </c>
      <c r="I15" s="2">
        <v>6</v>
      </c>
      <c r="J15" s="2">
        <v>22</v>
      </c>
      <c r="K15" s="2">
        <v>33</v>
      </c>
      <c r="L15" s="2">
        <v>23</v>
      </c>
      <c r="M15" s="2">
        <v>586</v>
      </c>
      <c r="N15" s="2">
        <v>16</v>
      </c>
      <c r="O15" s="2">
        <v>22</v>
      </c>
      <c r="P15" s="2">
        <v>11</v>
      </c>
      <c r="Q15" s="2">
        <v>15</v>
      </c>
      <c r="R15" s="2">
        <v>1</v>
      </c>
    </row>
    <row r="16" spans="1:18" ht="9.75" customHeight="1">
      <c r="A16" s="3" t="s">
        <v>104</v>
      </c>
      <c r="C16" s="2">
        <v>2046</v>
      </c>
      <c r="D16" s="2">
        <v>37365</v>
      </c>
      <c r="E16" s="2">
        <v>1082</v>
      </c>
      <c r="F16" s="2">
        <v>35956</v>
      </c>
      <c r="G16" s="2">
        <v>694</v>
      </c>
      <c r="H16" s="2">
        <v>940</v>
      </c>
      <c r="I16" s="2">
        <v>626</v>
      </c>
      <c r="J16" s="2">
        <v>1321</v>
      </c>
      <c r="K16" s="2">
        <v>3432</v>
      </c>
      <c r="L16" s="2">
        <v>2490</v>
      </c>
      <c r="M16" s="2">
        <v>97607</v>
      </c>
      <c r="N16" s="2">
        <v>2720</v>
      </c>
      <c r="O16" s="2">
        <v>1358</v>
      </c>
      <c r="P16" s="2">
        <v>1075</v>
      </c>
      <c r="Q16" s="2">
        <v>756</v>
      </c>
      <c r="R16" s="2">
        <v>113</v>
      </c>
    </row>
    <row r="17" spans="2:18" s="4" customFormat="1" ht="9.75" customHeight="1">
      <c r="B17" s="6" t="s">
        <v>105</v>
      </c>
      <c r="C17" s="4">
        <f aca="true" t="shared" si="0" ref="C17:J17">C16/80030</f>
        <v>0.0255654129701362</v>
      </c>
      <c r="D17" s="4">
        <f t="shared" si="0"/>
        <v>0.46688741721854304</v>
      </c>
      <c r="E17" s="4">
        <f t="shared" si="0"/>
        <v>0.01351993002624016</v>
      </c>
      <c r="F17" s="4">
        <f t="shared" si="0"/>
        <v>0.44928151943021366</v>
      </c>
      <c r="G17" s="4">
        <f t="shared" si="0"/>
        <v>0.008671748094464575</v>
      </c>
      <c r="H17" s="4">
        <f t="shared" si="0"/>
        <v>0.011745595401724353</v>
      </c>
      <c r="I17" s="4">
        <f t="shared" si="0"/>
        <v>0.007822066724978134</v>
      </c>
      <c r="J17" s="4">
        <f t="shared" si="0"/>
        <v>0.016506310133699863</v>
      </c>
      <c r="K17" s="4">
        <f>K16/106249</f>
        <v>0.03230148048452221</v>
      </c>
      <c r="L17" s="4">
        <f>L16/106249</f>
        <v>0.023435514687197057</v>
      </c>
      <c r="M17" s="4">
        <f>M16/106249</f>
        <v>0.9186627638848366</v>
      </c>
      <c r="N17" s="4">
        <f>N16/106249</f>
        <v>0.025600240943444173</v>
      </c>
      <c r="O17" s="4">
        <f>O16/1358</f>
        <v>1</v>
      </c>
      <c r="P17" s="4">
        <f>P16/1075</f>
        <v>1</v>
      </c>
      <c r="Q17" s="4">
        <f>Q16/756</f>
        <v>1</v>
      </c>
      <c r="R17" s="4">
        <f>R16/113</f>
        <v>1</v>
      </c>
    </row>
    <row r="18" spans="2:18" ht="4.5" customHeight="1"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9.75" customHeight="1">
      <c r="A19" s="3" t="s">
        <v>25</v>
      </c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9.75" customHeight="1">
      <c r="B20" s="5" t="s">
        <v>19</v>
      </c>
      <c r="C20" s="2">
        <v>548</v>
      </c>
      <c r="D20" s="2">
        <v>8832</v>
      </c>
      <c r="E20" s="2">
        <v>235</v>
      </c>
      <c r="F20" s="2">
        <v>7817</v>
      </c>
      <c r="G20" s="2">
        <v>165</v>
      </c>
      <c r="H20" s="2">
        <v>338</v>
      </c>
      <c r="I20" s="2">
        <v>159</v>
      </c>
      <c r="J20" s="2">
        <v>421</v>
      </c>
      <c r="K20" s="2">
        <v>559</v>
      </c>
      <c r="L20" s="2">
        <v>533</v>
      </c>
      <c r="M20" s="2">
        <v>10516</v>
      </c>
      <c r="N20" s="2">
        <v>382</v>
      </c>
      <c r="O20" s="2">
        <v>281</v>
      </c>
      <c r="P20" s="2">
        <v>1692</v>
      </c>
      <c r="Q20" s="2">
        <v>231</v>
      </c>
      <c r="R20" s="2">
        <v>54</v>
      </c>
    </row>
    <row r="21" spans="2:18" ht="9.75" customHeight="1">
      <c r="B21" s="5" t="s">
        <v>20</v>
      </c>
      <c r="C21" s="2">
        <v>205</v>
      </c>
      <c r="D21" s="2">
        <v>3147</v>
      </c>
      <c r="E21" s="2">
        <v>80</v>
      </c>
      <c r="F21" s="2">
        <v>2847</v>
      </c>
      <c r="G21" s="2">
        <v>95</v>
      </c>
      <c r="H21" s="2">
        <v>136</v>
      </c>
      <c r="I21" s="2">
        <v>53</v>
      </c>
      <c r="J21" s="2">
        <v>119</v>
      </c>
      <c r="K21" s="2">
        <v>238</v>
      </c>
      <c r="L21" s="2">
        <v>154</v>
      </c>
      <c r="M21" s="2">
        <v>4223</v>
      </c>
      <c r="N21" s="2">
        <v>177</v>
      </c>
      <c r="O21" s="2">
        <v>168</v>
      </c>
      <c r="P21" s="2">
        <v>144</v>
      </c>
      <c r="Q21" s="2">
        <v>53</v>
      </c>
      <c r="R21" s="2">
        <v>6</v>
      </c>
    </row>
    <row r="22" spans="2:18" ht="9.75" customHeight="1">
      <c r="B22" s="5" t="s">
        <v>21</v>
      </c>
      <c r="C22" s="2">
        <v>364</v>
      </c>
      <c r="D22" s="2">
        <v>6205</v>
      </c>
      <c r="E22" s="2">
        <v>119</v>
      </c>
      <c r="F22" s="2">
        <v>4656</v>
      </c>
      <c r="G22" s="2">
        <v>99</v>
      </c>
      <c r="H22" s="2">
        <v>236</v>
      </c>
      <c r="I22" s="2">
        <v>64</v>
      </c>
      <c r="J22" s="2">
        <v>213</v>
      </c>
      <c r="K22" s="2">
        <v>314</v>
      </c>
      <c r="L22" s="2">
        <v>276</v>
      </c>
      <c r="M22" s="2">
        <v>5542</v>
      </c>
      <c r="N22" s="2">
        <v>248</v>
      </c>
      <c r="O22" s="2">
        <v>180</v>
      </c>
      <c r="P22" s="2">
        <v>766</v>
      </c>
      <c r="Q22" s="2">
        <v>117</v>
      </c>
      <c r="R22" s="2">
        <v>42</v>
      </c>
    </row>
    <row r="23" spans="2:18" ht="9.75" customHeight="1">
      <c r="B23" s="5" t="s">
        <v>22</v>
      </c>
      <c r="C23" s="2">
        <v>318</v>
      </c>
      <c r="D23" s="2">
        <v>7098</v>
      </c>
      <c r="E23" s="2">
        <v>148</v>
      </c>
      <c r="F23" s="2">
        <v>7503</v>
      </c>
      <c r="G23" s="2">
        <v>185</v>
      </c>
      <c r="H23" s="2">
        <v>173</v>
      </c>
      <c r="I23" s="2">
        <v>126</v>
      </c>
      <c r="J23" s="2">
        <v>214</v>
      </c>
      <c r="K23" s="2">
        <v>321</v>
      </c>
      <c r="L23" s="2">
        <v>462</v>
      </c>
      <c r="M23" s="2">
        <v>9749</v>
      </c>
      <c r="N23" s="2">
        <v>401</v>
      </c>
      <c r="O23" s="2">
        <v>270</v>
      </c>
      <c r="P23" s="2">
        <v>282</v>
      </c>
      <c r="Q23" s="2">
        <v>110</v>
      </c>
      <c r="R23" s="2">
        <v>12</v>
      </c>
    </row>
    <row r="24" spans="2:18" ht="9.75" customHeight="1">
      <c r="B24" s="5" t="s">
        <v>23</v>
      </c>
      <c r="C24" s="2">
        <v>400</v>
      </c>
      <c r="D24" s="2">
        <v>8719</v>
      </c>
      <c r="E24" s="2">
        <v>152</v>
      </c>
      <c r="F24" s="2">
        <v>7725</v>
      </c>
      <c r="G24" s="2">
        <v>193</v>
      </c>
      <c r="H24" s="2">
        <v>172</v>
      </c>
      <c r="I24" s="2">
        <v>84</v>
      </c>
      <c r="J24" s="2">
        <v>242</v>
      </c>
      <c r="K24" s="2">
        <v>289</v>
      </c>
      <c r="L24" s="2">
        <v>273</v>
      </c>
      <c r="M24" s="2">
        <v>6945</v>
      </c>
      <c r="N24" s="2">
        <v>247</v>
      </c>
      <c r="O24" s="2">
        <v>136</v>
      </c>
      <c r="P24" s="2">
        <v>162</v>
      </c>
      <c r="Q24" s="2">
        <v>98</v>
      </c>
      <c r="R24" s="2">
        <v>13</v>
      </c>
    </row>
    <row r="25" spans="2:18" ht="9.75" customHeight="1">
      <c r="B25" s="5" t="s">
        <v>24</v>
      </c>
      <c r="C25" s="2">
        <v>1119</v>
      </c>
      <c r="D25" s="2">
        <v>22365</v>
      </c>
      <c r="E25" s="2">
        <v>373</v>
      </c>
      <c r="F25" s="2">
        <v>20559</v>
      </c>
      <c r="G25" s="2">
        <v>483</v>
      </c>
      <c r="H25" s="2">
        <v>747</v>
      </c>
      <c r="I25" s="2">
        <v>265</v>
      </c>
      <c r="J25" s="2">
        <v>771</v>
      </c>
      <c r="K25" s="2">
        <v>997</v>
      </c>
      <c r="L25" s="2">
        <v>983</v>
      </c>
      <c r="M25" s="2">
        <v>19135</v>
      </c>
      <c r="N25" s="2">
        <v>949</v>
      </c>
      <c r="O25" s="2">
        <v>745</v>
      </c>
      <c r="P25" s="2">
        <v>1408</v>
      </c>
      <c r="Q25" s="2">
        <v>351</v>
      </c>
      <c r="R25" s="2">
        <v>109</v>
      </c>
    </row>
    <row r="26" spans="1:18" ht="9.75" customHeight="1">
      <c r="A26" s="3" t="s">
        <v>104</v>
      </c>
      <c r="C26" s="2">
        <v>2954</v>
      </c>
      <c r="D26" s="2">
        <v>56366</v>
      </c>
      <c r="E26" s="2">
        <v>1107</v>
      </c>
      <c r="F26" s="2">
        <v>51107</v>
      </c>
      <c r="G26" s="2">
        <v>1220</v>
      </c>
      <c r="H26" s="2">
        <v>1802</v>
      </c>
      <c r="I26" s="2">
        <v>751</v>
      </c>
      <c r="J26" s="2">
        <v>1980</v>
      </c>
      <c r="K26" s="2">
        <v>2718</v>
      </c>
      <c r="L26" s="2">
        <v>2681</v>
      </c>
      <c r="M26" s="2">
        <v>56110</v>
      </c>
      <c r="N26" s="2">
        <v>2404</v>
      </c>
      <c r="O26" s="2">
        <v>1780</v>
      </c>
      <c r="P26" s="2">
        <v>4454</v>
      </c>
      <c r="Q26" s="2">
        <v>960</v>
      </c>
      <c r="R26" s="2">
        <v>236</v>
      </c>
    </row>
    <row r="27" spans="2:18" s="4" customFormat="1" ht="9.75" customHeight="1">
      <c r="B27" s="6" t="s">
        <v>105</v>
      </c>
      <c r="C27" s="4">
        <f aca="true" t="shared" si="1" ref="C27:J27">C26/117287</f>
        <v>0.02518608200397316</v>
      </c>
      <c r="D27" s="4">
        <f t="shared" si="1"/>
        <v>0.48058182066213645</v>
      </c>
      <c r="E27" s="4">
        <f t="shared" si="1"/>
        <v>0.009438386180906665</v>
      </c>
      <c r="F27" s="4">
        <f t="shared" si="1"/>
        <v>0.43574309173224657</v>
      </c>
      <c r="G27" s="4">
        <f t="shared" si="1"/>
        <v>0.010401834815452694</v>
      </c>
      <c r="H27" s="4">
        <f t="shared" si="1"/>
        <v>0.015364021588070289</v>
      </c>
      <c r="I27" s="4">
        <f t="shared" si="1"/>
        <v>0.006403096677381125</v>
      </c>
      <c r="J27" s="4">
        <f t="shared" si="1"/>
        <v>0.016881666339833058</v>
      </c>
      <c r="K27" s="4">
        <f>K26/63913</f>
        <v>0.042526559541877236</v>
      </c>
      <c r="L27" s="4">
        <f>L26/63913</f>
        <v>0.04194764758343373</v>
      </c>
      <c r="M27" s="4">
        <f>M26/63913</f>
        <v>0.8779121618450081</v>
      </c>
      <c r="N27" s="4">
        <f>N26/63913</f>
        <v>0.037613631029680974</v>
      </c>
      <c r="O27" s="4">
        <f>O26/1780</f>
        <v>1</v>
      </c>
      <c r="P27" s="4">
        <f>P26/4454</f>
        <v>1</v>
      </c>
      <c r="Q27" s="4">
        <f>Q26/960</f>
        <v>1</v>
      </c>
      <c r="R27" s="4">
        <f>R26/236</f>
        <v>1</v>
      </c>
    </row>
    <row r="28" spans="2:18" ht="5.25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9.75" customHeight="1">
      <c r="A29" s="3" t="s">
        <v>28</v>
      </c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9.75" customHeight="1">
      <c r="B30" s="5" t="s">
        <v>26</v>
      </c>
      <c r="C30" s="2">
        <v>697</v>
      </c>
      <c r="D30" s="2">
        <v>22409</v>
      </c>
      <c r="E30" s="2">
        <v>225</v>
      </c>
      <c r="F30" s="2">
        <v>19375</v>
      </c>
      <c r="G30" s="2">
        <v>218</v>
      </c>
      <c r="H30" s="2">
        <v>502</v>
      </c>
      <c r="I30" s="2">
        <v>156</v>
      </c>
      <c r="J30" s="2">
        <v>577</v>
      </c>
      <c r="K30" s="2">
        <v>560</v>
      </c>
      <c r="L30" s="2">
        <v>343</v>
      </c>
      <c r="M30" s="2">
        <v>14944</v>
      </c>
      <c r="N30" s="2">
        <v>435</v>
      </c>
      <c r="O30" s="2">
        <v>304</v>
      </c>
      <c r="P30" s="2">
        <v>889</v>
      </c>
      <c r="Q30" s="2">
        <v>216</v>
      </c>
      <c r="R30" s="2">
        <v>40</v>
      </c>
    </row>
    <row r="31" spans="2:18" ht="9.75" customHeight="1">
      <c r="B31" s="5" t="s">
        <v>27</v>
      </c>
      <c r="C31" s="2">
        <v>1176</v>
      </c>
      <c r="D31" s="2">
        <v>31347</v>
      </c>
      <c r="E31" s="2">
        <v>198</v>
      </c>
      <c r="F31" s="2">
        <v>23243</v>
      </c>
      <c r="G31" s="2">
        <v>309</v>
      </c>
      <c r="H31" s="2">
        <v>733</v>
      </c>
      <c r="I31" s="2">
        <v>179</v>
      </c>
      <c r="J31" s="2">
        <v>683</v>
      </c>
      <c r="K31" s="2">
        <v>395</v>
      </c>
      <c r="L31" s="2">
        <v>257</v>
      </c>
      <c r="M31" s="2">
        <v>6861</v>
      </c>
      <c r="N31" s="2">
        <v>331</v>
      </c>
      <c r="O31" s="2">
        <v>400</v>
      </c>
      <c r="P31" s="2">
        <v>2258</v>
      </c>
      <c r="Q31" s="2">
        <v>283</v>
      </c>
      <c r="R31" s="2">
        <v>152</v>
      </c>
    </row>
    <row r="32" spans="2:18" ht="9.75" customHeight="1">
      <c r="B32" s="5" t="s">
        <v>24</v>
      </c>
      <c r="C32" s="2">
        <v>664</v>
      </c>
      <c r="D32" s="2">
        <v>12565</v>
      </c>
      <c r="E32" s="2">
        <v>261</v>
      </c>
      <c r="F32" s="2">
        <v>11002</v>
      </c>
      <c r="G32" s="2">
        <v>219</v>
      </c>
      <c r="H32" s="2">
        <v>511</v>
      </c>
      <c r="I32" s="2">
        <v>147</v>
      </c>
      <c r="J32" s="2">
        <v>627</v>
      </c>
      <c r="K32" s="2">
        <v>570</v>
      </c>
      <c r="L32" s="2">
        <v>519</v>
      </c>
      <c r="M32" s="2">
        <v>10506</v>
      </c>
      <c r="N32" s="2">
        <v>566</v>
      </c>
      <c r="O32" s="2">
        <v>419</v>
      </c>
      <c r="P32" s="2">
        <v>624</v>
      </c>
      <c r="Q32" s="2">
        <v>165</v>
      </c>
      <c r="R32" s="2">
        <v>55</v>
      </c>
    </row>
    <row r="33" spans="1:18" ht="9.75" customHeight="1">
      <c r="A33" s="3" t="s">
        <v>104</v>
      </c>
      <c r="C33" s="2">
        <v>2537</v>
      </c>
      <c r="D33" s="2">
        <v>66321</v>
      </c>
      <c r="E33" s="2">
        <v>684</v>
      </c>
      <c r="F33" s="2">
        <v>53620</v>
      </c>
      <c r="G33" s="2">
        <v>746</v>
      </c>
      <c r="H33" s="2">
        <v>1746</v>
      </c>
      <c r="I33" s="2">
        <v>482</v>
      </c>
      <c r="J33" s="2">
        <v>1887</v>
      </c>
      <c r="K33" s="2">
        <v>1525</v>
      </c>
      <c r="L33" s="2">
        <v>1119</v>
      </c>
      <c r="M33" s="2">
        <v>32311</v>
      </c>
      <c r="N33" s="2">
        <v>1332</v>
      </c>
      <c r="O33" s="2">
        <v>1123</v>
      </c>
      <c r="P33" s="2">
        <v>3771</v>
      </c>
      <c r="Q33" s="2">
        <v>664</v>
      </c>
      <c r="R33" s="2">
        <v>247</v>
      </c>
    </row>
    <row r="34" spans="2:18" s="4" customFormat="1" ht="9.75" customHeight="1">
      <c r="B34" s="6" t="s">
        <v>105</v>
      </c>
      <c r="C34" s="4">
        <f aca="true" t="shared" si="2" ref="C34:J34">C33/128023</f>
        <v>0.01981675167743296</v>
      </c>
      <c r="D34" s="4">
        <f t="shared" si="2"/>
        <v>0.5180397272365121</v>
      </c>
      <c r="E34" s="4">
        <f t="shared" si="2"/>
        <v>0.005342789967427728</v>
      </c>
      <c r="F34" s="4">
        <f t="shared" si="2"/>
        <v>0.4188309913062497</v>
      </c>
      <c r="G34" s="4">
        <f t="shared" si="2"/>
        <v>0.005827077946931411</v>
      </c>
      <c r="H34" s="4">
        <f t="shared" si="2"/>
        <v>0.0136381743905392</v>
      </c>
      <c r="I34" s="4">
        <f t="shared" si="2"/>
        <v>0.0037649484858189542</v>
      </c>
      <c r="J34" s="4">
        <f t="shared" si="2"/>
        <v>0.014739538989087898</v>
      </c>
      <c r="K34" s="4">
        <f>K33/36287</f>
        <v>0.04202606994240361</v>
      </c>
      <c r="L34" s="4">
        <f>L33/36287</f>
        <v>0.030837490010196488</v>
      </c>
      <c r="M34" s="4">
        <f>M33/36287</f>
        <v>0.8904290792845923</v>
      </c>
      <c r="N34" s="4">
        <f>N33/36287</f>
        <v>0.03670736076280762</v>
      </c>
      <c r="O34" s="4">
        <f>O33/1123</f>
        <v>1</v>
      </c>
      <c r="P34" s="4">
        <f>P33/3771</f>
        <v>1</v>
      </c>
      <c r="Q34" s="4">
        <f>Q33/664</f>
        <v>1</v>
      </c>
      <c r="R34" s="4">
        <f>R33/247</f>
        <v>1</v>
      </c>
    </row>
    <row r="35" spans="2:18" ht="5.25" customHeight="1"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9.75" customHeight="1">
      <c r="A36" s="3" t="s">
        <v>39</v>
      </c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ht="9.75" customHeight="1">
      <c r="B37" s="5" t="s">
        <v>29</v>
      </c>
      <c r="C37" s="2">
        <v>433</v>
      </c>
      <c r="D37" s="2">
        <v>6815</v>
      </c>
      <c r="E37" s="2">
        <v>259</v>
      </c>
      <c r="F37" s="2">
        <v>9137</v>
      </c>
      <c r="G37" s="2">
        <v>123</v>
      </c>
      <c r="H37" s="2">
        <v>271</v>
      </c>
      <c r="I37" s="2">
        <v>158</v>
      </c>
      <c r="J37" s="2">
        <v>367</v>
      </c>
      <c r="K37" s="2">
        <v>667</v>
      </c>
      <c r="L37" s="2">
        <v>625</v>
      </c>
      <c r="M37" s="2">
        <v>19056</v>
      </c>
      <c r="N37" s="2">
        <v>667</v>
      </c>
      <c r="O37" s="2">
        <v>285</v>
      </c>
      <c r="P37" s="2">
        <v>511</v>
      </c>
      <c r="Q37" s="2">
        <v>179</v>
      </c>
      <c r="R37" s="2">
        <v>31</v>
      </c>
    </row>
    <row r="38" spans="2:18" ht="9.75" customHeight="1">
      <c r="B38" s="5" t="s">
        <v>30</v>
      </c>
      <c r="C38" s="2">
        <v>49</v>
      </c>
      <c r="D38" s="2">
        <v>503</v>
      </c>
      <c r="E38" s="2">
        <v>23</v>
      </c>
      <c r="F38" s="2">
        <v>686</v>
      </c>
      <c r="G38" s="2">
        <v>21</v>
      </c>
      <c r="H38" s="2">
        <v>19</v>
      </c>
      <c r="I38" s="2">
        <v>33</v>
      </c>
      <c r="J38" s="2">
        <v>37</v>
      </c>
      <c r="K38" s="2">
        <v>61</v>
      </c>
      <c r="L38" s="2">
        <v>45</v>
      </c>
      <c r="M38" s="2">
        <v>2021</v>
      </c>
      <c r="N38" s="2">
        <v>80</v>
      </c>
      <c r="O38" s="2">
        <v>28</v>
      </c>
      <c r="P38" s="2">
        <v>10</v>
      </c>
      <c r="Q38" s="2">
        <v>8</v>
      </c>
      <c r="R38" s="2">
        <v>3</v>
      </c>
    </row>
    <row r="39" spans="2:18" ht="9.75" customHeight="1">
      <c r="B39" s="5" t="s">
        <v>31</v>
      </c>
      <c r="C39" s="2">
        <v>66</v>
      </c>
      <c r="D39" s="2">
        <v>1128</v>
      </c>
      <c r="E39" s="2">
        <v>43</v>
      </c>
      <c r="F39" s="2">
        <v>923</v>
      </c>
      <c r="G39" s="2">
        <v>41</v>
      </c>
      <c r="H39" s="2">
        <v>53</v>
      </c>
      <c r="I39" s="2">
        <v>51</v>
      </c>
      <c r="J39" s="2">
        <v>52</v>
      </c>
      <c r="K39" s="2">
        <v>195</v>
      </c>
      <c r="L39" s="2">
        <v>216</v>
      </c>
      <c r="M39" s="2">
        <v>1962</v>
      </c>
      <c r="N39" s="2">
        <v>166</v>
      </c>
      <c r="O39" s="2">
        <v>69</v>
      </c>
      <c r="P39" s="2">
        <v>37</v>
      </c>
      <c r="Q39" s="2">
        <v>31</v>
      </c>
      <c r="R39" s="2">
        <v>2</v>
      </c>
    </row>
    <row r="40" spans="2:18" ht="9.75" customHeight="1">
      <c r="B40" s="5" t="s">
        <v>32</v>
      </c>
      <c r="C40" s="2">
        <v>60</v>
      </c>
      <c r="D40" s="2">
        <v>552</v>
      </c>
      <c r="E40" s="2">
        <v>39</v>
      </c>
      <c r="F40" s="2">
        <v>1316</v>
      </c>
      <c r="G40" s="2">
        <v>40</v>
      </c>
      <c r="H40" s="2">
        <v>52</v>
      </c>
      <c r="I40" s="2">
        <v>42</v>
      </c>
      <c r="J40" s="2">
        <v>63</v>
      </c>
      <c r="K40" s="2">
        <v>100</v>
      </c>
      <c r="L40" s="2">
        <v>108</v>
      </c>
      <c r="M40" s="2">
        <v>3167</v>
      </c>
      <c r="N40" s="2">
        <v>208</v>
      </c>
      <c r="O40" s="2">
        <v>81</v>
      </c>
      <c r="P40" s="2">
        <v>19</v>
      </c>
      <c r="Q40" s="2">
        <v>17</v>
      </c>
      <c r="R40" s="2">
        <v>4</v>
      </c>
    </row>
    <row r="41" spans="2:18" ht="9.75" customHeight="1">
      <c r="B41" s="5" t="s">
        <v>13</v>
      </c>
      <c r="C41" s="2">
        <v>274</v>
      </c>
      <c r="D41" s="2">
        <v>4320</v>
      </c>
      <c r="E41" s="2">
        <v>120</v>
      </c>
      <c r="F41" s="2">
        <v>4040</v>
      </c>
      <c r="G41" s="2">
        <v>60</v>
      </c>
      <c r="H41" s="2">
        <v>149</v>
      </c>
      <c r="I41" s="2">
        <v>77</v>
      </c>
      <c r="J41" s="2">
        <v>129</v>
      </c>
      <c r="K41" s="2">
        <v>333</v>
      </c>
      <c r="L41" s="2">
        <v>328</v>
      </c>
      <c r="M41" s="2">
        <v>11216</v>
      </c>
      <c r="N41" s="2">
        <v>322</v>
      </c>
      <c r="O41" s="2">
        <v>178</v>
      </c>
      <c r="P41" s="2">
        <v>425</v>
      </c>
      <c r="Q41" s="2">
        <v>106</v>
      </c>
      <c r="R41" s="2">
        <v>12</v>
      </c>
    </row>
    <row r="42" spans="2:18" ht="9.75" customHeight="1">
      <c r="B42" s="5" t="s">
        <v>14</v>
      </c>
      <c r="C42" s="2">
        <v>223</v>
      </c>
      <c r="D42" s="2">
        <v>4838</v>
      </c>
      <c r="E42" s="2">
        <v>129</v>
      </c>
      <c r="F42" s="2">
        <v>4648</v>
      </c>
      <c r="G42" s="2">
        <v>61</v>
      </c>
      <c r="H42" s="2">
        <v>75</v>
      </c>
      <c r="I42" s="2">
        <v>68</v>
      </c>
      <c r="J42" s="2">
        <v>130</v>
      </c>
      <c r="K42" s="2">
        <v>469</v>
      </c>
      <c r="L42" s="2">
        <v>325</v>
      </c>
      <c r="M42" s="2">
        <v>16593</v>
      </c>
      <c r="N42" s="2">
        <v>353</v>
      </c>
      <c r="O42" s="2">
        <v>126</v>
      </c>
      <c r="P42" s="2">
        <v>88</v>
      </c>
      <c r="Q42" s="2">
        <v>82</v>
      </c>
      <c r="R42" s="2">
        <v>7</v>
      </c>
    </row>
    <row r="43" spans="2:18" ht="9.75" customHeight="1">
      <c r="B43" s="5" t="s">
        <v>33</v>
      </c>
      <c r="C43" s="2">
        <v>486</v>
      </c>
      <c r="D43" s="2">
        <v>4098</v>
      </c>
      <c r="E43" s="2">
        <v>248</v>
      </c>
      <c r="F43" s="2">
        <v>7699</v>
      </c>
      <c r="G43" s="2">
        <v>204</v>
      </c>
      <c r="H43" s="2">
        <v>308</v>
      </c>
      <c r="I43" s="2">
        <v>215</v>
      </c>
      <c r="J43" s="2">
        <v>414</v>
      </c>
      <c r="K43" s="2">
        <v>880</v>
      </c>
      <c r="L43" s="2">
        <v>852</v>
      </c>
      <c r="M43" s="2">
        <v>18412</v>
      </c>
      <c r="N43" s="2">
        <v>899</v>
      </c>
      <c r="O43" s="2">
        <v>425</v>
      </c>
      <c r="P43" s="2">
        <v>127</v>
      </c>
      <c r="Q43" s="2">
        <v>139</v>
      </c>
      <c r="R43" s="2">
        <v>19</v>
      </c>
    </row>
    <row r="44" spans="2:18" ht="9.75" customHeight="1">
      <c r="B44" s="5" t="s">
        <v>34</v>
      </c>
      <c r="C44" s="2">
        <v>238</v>
      </c>
      <c r="D44" s="2">
        <v>1763</v>
      </c>
      <c r="E44" s="2">
        <v>114</v>
      </c>
      <c r="F44" s="2">
        <v>1895</v>
      </c>
      <c r="G44" s="2">
        <v>63</v>
      </c>
      <c r="H44" s="2">
        <v>134</v>
      </c>
      <c r="I44" s="2">
        <v>84</v>
      </c>
      <c r="J44" s="2">
        <v>166</v>
      </c>
      <c r="K44" s="2">
        <v>239</v>
      </c>
      <c r="L44" s="2">
        <v>239</v>
      </c>
      <c r="M44" s="2">
        <v>5250</v>
      </c>
      <c r="N44" s="2">
        <v>247</v>
      </c>
      <c r="O44" s="2">
        <v>119</v>
      </c>
      <c r="P44" s="2">
        <v>70</v>
      </c>
      <c r="Q44" s="2">
        <v>67</v>
      </c>
      <c r="R44" s="2">
        <v>7</v>
      </c>
    </row>
    <row r="45" spans="2:18" ht="9.75" customHeight="1">
      <c r="B45" s="5" t="s">
        <v>35</v>
      </c>
      <c r="C45" s="2">
        <v>173</v>
      </c>
      <c r="D45" s="2">
        <v>1916</v>
      </c>
      <c r="E45" s="2">
        <v>88</v>
      </c>
      <c r="F45" s="2">
        <v>2122</v>
      </c>
      <c r="G45" s="2">
        <v>79</v>
      </c>
      <c r="H45" s="2">
        <v>64</v>
      </c>
      <c r="I45" s="2">
        <v>103</v>
      </c>
      <c r="J45" s="2">
        <v>146</v>
      </c>
      <c r="K45" s="2">
        <v>240</v>
      </c>
      <c r="L45" s="2">
        <v>176</v>
      </c>
      <c r="M45" s="2">
        <v>7674</v>
      </c>
      <c r="N45" s="2">
        <v>349</v>
      </c>
      <c r="O45" s="2">
        <v>88</v>
      </c>
      <c r="P45" s="2">
        <v>29</v>
      </c>
      <c r="Q45" s="2">
        <v>39</v>
      </c>
      <c r="R45" s="2">
        <v>4</v>
      </c>
    </row>
    <row r="46" spans="2:18" ht="9.75" customHeight="1">
      <c r="B46" s="5" t="s">
        <v>36</v>
      </c>
      <c r="C46" s="2">
        <v>156</v>
      </c>
      <c r="D46" s="2">
        <v>1357</v>
      </c>
      <c r="E46" s="2">
        <v>110</v>
      </c>
      <c r="F46" s="2">
        <v>2701</v>
      </c>
      <c r="G46" s="2">
        <v>86</v>
      </c>
      <c r="H46" s="2">
        <v>98</v>
      </c>
      <c r="I46" s="2">
        <v>117</v>
      </c>
      <c r="J46" s="2">
        <v>138</v>
      </c>
      <c r="K46" s="2">
        <v>278</v>
      </c>
      <c r="L46" s="2">
        <v>246</v>
      </c>
      <c r="M46" s="2">
        <v>5730</v>
      </c>
      <c r="N46" s="2">
        <v>320</v>
      </c>
      <c r="O46" s="2">
        <v>190</v>
      </c>
      <c r="P46" s="2">
        <v>25</v>
      </c>
      <c r="Q46" s="2">
        <v>52</v>
      </c>
      <c r="R46" s="2">
        <v>17</v>
      </c>
    </row>
    <row r="47" spans="2:18" ht="9.75" customHeight="1">
      <c r="B47" s="5" t="s">
        <v>37</v>
      </c>
      <c r="C47" s="2">
        <v>79</v>
      </c>
      <c r="D47" s="2">
        <v>630</v>
      </c>
      <c r="E47" s="2">
        <v>33</v>
      </c>
      <c r="F47" s="2">
        <v>844</v>
      </c>
      <c r="G47" s="2">
        <v>38</v>
      </c>
      <c r="H47" s="2">
        <v>51</v>
      </c>
      <c r="I47" s="2">
        <v>27</v>
      </c>
      <c r="J47" s="2">
        <v>73</v>
      </c>
      <c r="K47" s="2">
        <v>118</v>
      </c>
      <c r="L47" s="2">
        <v>95</v>
      </c>
      <c r="M47" s="2">
        <v>1604</v>
      </c>
      <c r="N47" s="2">
        <v>79</v>
      </c>
      <c r="O47" s="2">
        <v>56</v>
      </c>
      <c r="P47" s="2">
        <v>48</v>
      </c>
      <c r="Q47" s="2">
        <v>43</v>
      </c>
      <c r="R47" s="2">
        <v>7</v>
      </c>
    </row>
    <row r="48" spans="2:18" ht="9.75" customHeight="1">
      <c r="B48" s="5" t="s">
        <v>38</v>
      </c>
      <c r="C48" s="2">
        <v>124</v>
      </c>
      <c r="D48" s="2">
        <v>1363</v>
      </c>
      <c r="E48" s="2">
        <v>79</v>
      </c>
      <c r="F48" s="2">
        <v>1690</v>
      </c>
      <c r="G48" s="2">
        <v>61</v>
      </c>
      <c r="H48" s="2">
        <v>66</v>
      </c>
      <c r="I48" s="2">
        <v>64</v>
      </c>
      <c r="J48" s="2">
        <v>122</v>
      </c>
      <c r="K48" s="2">
        <v>153</v>
      </c>
      <c r="L48" s="2">
        <v>176</v>
      </c>
      <c r="M48" s="2">
        <v>4529</v>
      </c>
      <c r="N48" s="2">
        <v>171</v>
      </c>
      <c r="O48" s="2">
        <v>135</v>
      </c>
      <c r="P48" s="2">
        <v>53</v>
      </c>
      <c r="Q48" s="2">
        <v>49</v>
      </c>
      <c r="R48" s="2">
        <v>10</v>
      </c>
    </row>
    <row r="49" spans="1:18" ht="9.75" customHeight="1">
      <c r="A49" s="3" t="s">
        <v>104</v>
      </c>
      <c r="C49" s="2">
        <v>2361</v>
      </c>
      <c r="D49" s="2">
        <v>29283</v>
      </c>
      <c r="E49" s="2">
        <v>1285</v>
      </c>
      <c r="F49" s="2">
        <v>37701</v>
      </c>
      <c r="G49" s="2">
        <v>877</v>
      </c>
      <c r="H49" s="2">
        <v>1340</v>
      </c>
      <c r="I49" s="2">
        <v>1039</v>
      </c>
      <c r="J49" s="2">
        <v>1837</v>
      </c>
      <c r="K49" s="2">
        <v>3733</v>
      </c>
      <c r="L49" s="2">
        <v>3431</v>
      </c>
      <c r="M49" s="2">
        <v>97214</v>
      </c>
      <c r="N49" s="2">
        <v>3861</v>
      </c>
      <c r="O49" s="2">
        <v>1780</v>
      </c>
      <c r="P49" s="2">
        <v>1442</v>
      </c>
      <c r="Q49" s="2">
        <v>812</v>
      </c>
      <c r="R49" s="2">
        <v>123</v>
      </c>
    </row>
    <row r="50" spans="2:18" s="4" customFormat="1" ht="9.75" customHeight="1">
      <c r="B50" s="6" t="s">
        <v>105</v>
      </c>
      <c r="C50" s="4">
        <f aca="true" t="shared" si="3" ref="C50:J50">C49/75723</f>
        <v>0.031179430291985263</v>
      </c>
      <c r="D50" s="4">
        <f t="shared" si="3"/>
        <v>0.38671209540034074</v>
      </c>
      <c r="E50" s="4">
        <f t="shared" si="3"/>
        <v>0.01696974499161417</v>
      </c>
      <c r="F50" s="4">
        <f t="shared" si="3"/>
        <v>0.4978804326294521</v>
      </c>
      <c r="G50" s="4">
        <f t="shared" si="3"/>
        <v>0.011581685881436288</v>
      </c>
      <c r="H50" s="4">
        <f t="shared" si="3"/>
        <v>0.01769607648930972</v>
      </c>
      <c r="I50" s="4">
        <f t="shared" si="3"/>
        <v>0.013721062292830448</v>
      </c>
      <c r="J50" s="4">
        <f t="shared" si="3"/>
        <v>0.02425947202303131</v>
      </c>
      <c r="K50" s="4">
        <f>K49/108239</f>
        <v>0.0344884930570312</v>
      </c>
      <c r="L50" s="4">
        <f>L49/108239</f>
        <v>0.031698371197073145</v>
      </c>
      <c r="M50" s="4">
        <f>M49/108239</f>
        <v>0.8981420744833193</v>
      </c>
      <c r="N50" s="4">
        <f>N49/108239</f>
        <v>0.03567106126257633</v>
      </c>
      <c r="O50" s="4">
        <f>O49/1780</f>
        <v>1</v>
      </c>
      <c r="P50" s="4">
        <f>P49/1442</f>
        <v>1</v>
      </c>
      <c r="Q50" s="4">
        <f>Q49/812</f>
        <v>1</v>
      </c>
      <c r="R50" s="4">
        <f>R49/123</f>
        <v>1</v>
      </c>
    </row>
    <row r="51" spans="2:18" ht="5.25" customHeight="1"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.75" customHeight="1">
      <c r="A52" s="3" t="s">
        <v>42</v>
      </c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ht="9.75" customHeight="1">
      <c r="B53" s="5" t="s">
        <v>16</v>
      </c>
      <c r="C53" s="2">
        <v>57</v>
      </c>
      <c r="D53" s="2">
        <v>2121</v>
      </c>
      <c r="E53" s="2">
        <v>23</v>
      </c>
      <c r="F53" s="2">
        <v>1655</v>
      </c>
      <c r="G53" s="2">
        <v>29</v>
      </c>
      <c r="H53" s="2">
        <v>31</v>
      </c>
      <c r="I53" s="2">
        <v>21</v>
      </c>
      <c r="J53" s="2">
        <v>43</v>
      </c>
      <c r="K53" s="2">
        <v>93</v>
      </c>
      <c r="L53" s="2">
        <v>46</v>
      </c>
      <c r="M53" s="2">
        <v>2425</v>
      </c>
      <c r="N53" s="2">
        <v>75</v>
      </c>
      <c r="O53" s="2">
        <v>31</v>
      </c>
      <c r="P53" s="2">
        <v>22</v>
      </c>
      <c r="Q53" s="2">
        <v>12</v>
      </c>
      <c r="R53" s="2">
        <v>2</v>
      </c>
    </row>
    <row r="54" spans="2:18" ht="9.75" customHeight="1">
      <c r="B54" s="5" t="s">
        <v>40</v>
      </c>
      <c r="C54" s="2">
        <v>804</v>
      </c>
      <c r="D54" s="2">
        <v>13762</v>
      </c>
      <c r="E54" s="2">
        <v>245</v>
      </c>
      <c r="F54" s="2">
        <v>10878</v>
      </c>
      <c r="G54" s="2">
        <v>342</v>
      </c>
      <c r="H54" s="2">
        <v>362</v>
      </c>
      <c r="I54" s="2">
        <v>329</v>
      </c>
      <c r="J54" s="2">
        <v>429</v>
      </c>
      <c r="K54" s="2">
        <v>871</v>
      </c>
      <c r="L54" s="2">
        <v>635</v>
      </c>
      <c r="M54" s="2">
        <v>17768</v>
      </c>
      <c r="N54" s="2">
        <v>1095</v>
      </c>
      <c r="O54" s="2">
        <v>299</v>
      </c>
      <c r="P54" s="2">
        <v>126</v>
      </c>
      <c r="Q54" s="2">
        <v>106</v>
      </c>
      <c r="R54" s="2">
        <v>31</v>
      </c>
    </row>
    <row r="55" spans="2:18" ht="9.75" customHeight="1">
      <c r="B55" s="5" t="s">
        <v>23</v>
      </c>
      <c r="C55" s="2">
        <v>485</v>
      </c>
      <c r="D55" s="2">
        <v>8496</v>
      </c>
      <c r="E55" s="2">
        <v>185</v>
      </c>
      <c r="F55" s="2">
        <v>7568</v>
      </c>
      <c r="G55" s="2">
        <v>276</v>
      </c>
      <c r="H55" s="2">
        <v>202</v>
      </c>
      <c r="I55" s="2">
        <v>99</v>
      </c>
      <c r="J55" s="2">
        <v>255</v>
      </c>
      <c r="K55" s="2">
        <v>479</v>
      </c>
      <c r="L55" s="2">
        <v>414</v>
      </c>
      <c r="M55" s="2">
        <v>11072</v>
      </c>
      <c r="N55" s="2">
        <v>460</v>
      </c>
      <c r="O55" s="2">
        <v>248</v>
      </c>
      <c r="P55" s="2">
        <v>86</v>
      </c>
      <c r="Q55" s="2">
        <v>98</v>
      </c>
      <c r="R55" s="2">
        <v>11</v>
      </c>
    </row>
    <row r="56" spans="2:18" ht="9.75" customHeight="1">
      <c r="B56" s="5" t="s">
        <v>41</v>
      </c>
      <c r="C56" s="2">
        <v>307</v>
      </c>
      <c r="D56" s="2">
        <v>10333</v>
      </c>
      <c r="E56" s="2">
        <v>155</v>
      </c>
      <c r="F56" s="2">
        <v>8147</v>
      </c>
      <c r="G56" s="2">
        <v>262</v>
      </c>
      <c r="H56" s="2">
        <v>175</v>
      </c>
      <c r="I56" s="2">
        <v>93</v>
      </c>
      <c r="J56" s="2">
        <v>205</v>
      </c>
      <c r="K56" s="2">
        <v>338</v>
      </c>
      <c r="L56" s="2">
        <v>242</v>
      </c>
      <c r="M56" s="2">
        <v>10347</v>
      </c>
      <c r="N56" s="2">
        <v>322</v>
      </c>
      <c r="O56" s="2">
        <v>191</v>
      </c>
      <c r="P56" s="2">
        <v>520</v>
      </c>
      <c r="Q56" s="2">
        <v>94</v>
      </c>
      <c r="R56" s="2">
        <v>26</v>
      </c>
    </row>
    <row r="57" spans="1:18" ht="9.75" customHeight="1">
      <c r="A57" s="3" t="s">
        <v>104</v>
      </c>
      <c r="C57" s="2">
        <v>1653</v>
      </c>
      <c r="D57" s="2">
        <v>34712</v>
      </c>
      <c r="E57" s="2">
        <v>608</v>
      </c>
      <c r="F57" s="2">
        <v>28248</v>
      </c>
      <c r="G57" s="2">
        <v>909</v>
      </c>
      <c r="H57" s="2">
        <v>770</v>
      </c>
      <c r="I57" s="2">
        <v>542</v>
      </c>
      <c r="J57" s="2">
        <v>932</v>
      </c>
      <c r="K57" s="2">
        <v>1781</v>
      </c>
      <c r="L57" s="2">
        <v>1337</v>
      </c>
      <c r="M57" s="2">
        <v>41612</v>
      </c>
      <c r="N57" s="2">
        <v>1952</v>
      </c>
      <c r="O57" s="2">
        <v>769</v>
      </c>
      <c r="P57" s="2">
        <v>754</v>
      </c>
      <c r="Q57" s="2">
        <v>310</v>
      </c>
      <c r="R57" s="2">
        <v>70</v>
      </c>
    </row>
    <row r="58" spans="2:18" s="4" customFormat="1" ht="9.75" customHeight="1">
      <c r="B58" s="6" t="s">
        <v>105</v>
      </c>
      <c r="C58" s="4">
        <f aca="true" t="shared" si="4" ref="C58:J58">C57/68374</f>
        <v>0.02417585631965367</v>
      </c>
      <c r="D58" s="4">
        <f t="shared" si="4"/>
        <v>0.5076783572703074</v>
      </c>
      <c r="E58" s="4">
        <f t="shared" si="4"/>
        <v>0.008892268991136982</v>
      </c>
      <c r="F58" s="4">
        <f t="shared" si="4"/>
        <v>0.41313949746979844</v>
      </c>
      <c r="G58" s="4">
        <f t="shared" si="4"/>
        <v>0.013294527159446573</v>
      </c>
      <c r="H58" s="4">
        <f t="shared" si="4"/>
        <v>0.01126159066311756</v>
      </c>
      <c r="I58" s="4">
        <f t="shared" si="4"/>
        <v>0.007926989791441191</v>
      </c>
      <c r="J58" s="4">
        <f t="shared" si="4"/>
        <v>0.013630912335098137</v>
      </c>
      <c r="K58" s="4">
        <f>K57/46682</f>
        <v>0.038151750139239965</v>
      </c>
      <c r="L58" s="4">
        <f>L57/46682</f>
        <v>0.028640589520586093</v>
      </c>
      <c r="M58" s="4">
        <f>M57/46682</f>
        <v>0.8913928280707768</v>
      </c>
      <c r="N58" s="4">
        <f>N57/46682</f>
        <v>0.041814832269397195</v>
      </c>
      <c r="O58" s="4">
        <f>O57/769</f>
        <v>1</v>
      </c>
      <c r="P58" s="4">
        <f>P57/754</f>
        <v>1</v>
      </c>
      <c r="Q58" s="4">
        <f>Q57/310</f>
        <v>1</v>
      </c>
      <c r="R58" s="4">
        <f>R57/70</f>
        <v>1</v>
      </c>
    </row>
    <row r="59" spans="2:18" ht="4.5" customHeight="1"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9.75" customHeight="1">
      <c r="A60" s="3" t="s">
        <v>43</v>
      </c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ht="9.75" customHeight="1">
      <c r="B61" s="5" t="s">
        <v>16</v>
      </c>
      <c r="C61" s="2">
        <v>1259</v>
      </c>
      <c r="D61" s="2">
        <v>39040</v>
      </c>
      <c r="E61" s="2">
        <v>545</v>
      </c>
      <c r="F61" s="2">
        <v>28728</v>
      </c>
      <c r="G61" s="2">
        <v>423</v>
      </c>
      <c r="H61" s="2">
        <v>505</v>
      </c>
      <c r="I61" s="2">
        <v>381</v>
      </c>
      <c r="J61" s="2">
        <v>740</v>
      </c>
      <c r="K61" s="2">
        <v>1498</v>
      </c>
      <c r="L61" s="2">
        <v>939</v>
      </c>
      <c r="M61" s="2">
        <v>35338</v>
      </c>
      <c r="N61" s="2">
        <v>1122</v>
      </c>
      <c r="O61" s="2">
        <v>684</v>
      </c>
      <c r="P61" s="2">
        <v>913</v>
      </c>
      <c r="Q61" s="2">
        <v>342</v>
      </c>
      <c r="R61" s="2">
        <v>194</v>
      </c>
    </row>
    <row r="62" spans="1:18" ht="9.75" customHeight="1">
      <c r="A62" s="3" t="s">
        <v>104</v>
      </c>
      <c r="C62" s="2">
        <v>1259</v>
      </c>
      <c r="D62" s="2">
        <v>39040</v>
      </c>
      <c r="E62" s="2">
        <v>545</v>
      </c>
      <c r="F62" s="2">
        <v>28728</v>
      </c>
      <c r="G62" s="2">
        <v>423</v>
      </c>
      <c r="H62" s="2">
        <v>505</v>
      </c>
      <c r="I62" s="2">
        <v>381</v>
      </c>
      <c r="J62" s="2">
        <v>740</v>
      </c>
      <c r="K62" s="2">
        <v>1498</v>
      </c>
      <c r="L62" s="2">
        <v>939</v>
      </c>
      <c r="M62" s="2">
        <v>35338</v>
      </c>
      <c r="N62" s="2">
        <v>1122</v>
      </c>
      <c r="O62" s="2">
        <v>684</v>
      </c>
      <c r="P62" s="2">
        <v>913</v>
      </c>
      <c r="Q62" s="2">
        <v>342</v>
      </c>
      <c r="R62" s="2">
        <v>194</v>
      </c>
    </row>
    <row r="63" spans="2:18" s="4" customFormat="1" ht="9.75" customHeight="1">
      <c r="B63" s="6" t="s">
        <v>105</v>
      </c>
      <c r="C63" s="4">
        <f aca="true" t="shared" si="5" ref="C63:J63">C62/71621</f>
        <v>0.01757864313539325</v>
      </c>
      <c r="D63" s="4">
        <f t="shared" si="5"/>
        <v>0.5450915234358638</v>
      </c>
      <c r="E63" s="4">
        <f t="shared" si="5"/>
        <v>0.0076095000069811925</v>
      </c>
      <c r="F63" s="4">
        <f t="shared" si="5"/>
        <v>0.40111140587257926</v>
      </c>
      <c r="G63" s="4">
        <f t="shared" si="5"/>
        <v>0.005906088996244119</v>
      </c>
      <c r="H63" s="4">
        <f t="shared" si="5"/>
        <v>0.007051004593624775</v>
      </c>
      <c r="I63" s="4">
        <f t="shared" si="5"/>
        <v>0.0053196688122198795</v>
      </c>
      <c r="J63" s="4">
        <f t="shared" si="5"/>
        <v>0.01033216514709373</v>
      </c>
      <c r="K63" s="4">
        <f>K62/38897</f>
        <v>0.03851196750392061</v>
      </c>
      <c r="L63" s="4">
        <f>L62/38897</f>
        <v>0.02414067922976065</v>
      </c>
      <c r="M63" s="4">
        <f>M62/38897</f>
        <v>0.9085019410237294</v>
      </c>
      <c r="N63" s="4">
        <f>N62/38897</f>
        <v>0.028845412242589404</v>
      </c>
      <c r="O63" s="4">
        <f>O62/684</f>
        <v>1</v>
      </c>
      <c r="P63" s="4">
        <f>P62/913</f>
        <v>1</v>
      </c>
      <c r="Q63" s="4">
        <f>Q62/342</f>
        <v>1</v>
      </c>
      <c r="R63" s="4">
        <f>R62/194</f>
        <v>1</v>
      </c>
    </row>
    <row r="64" spans="2:18" ht="4.5" customHeight="1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9.75" customHeight="1">
      <c r="A65" s="3" t="s">
        <v>45</v>
      </c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9.75" customHeight="1">
      <c r="B66" s="5" t="s">
        <v>44</v>
      </c>
      <c r="C66" s="2">
        <v>1867</v>
      </c>
      <c r="D66" s="2">
        <v>47926</v>
      </c>
      <c r="E66" s="2">
        <v>765</v>
      </c>
      <c r="F66" s="2">
        <v>37749</v>
      </c>
      <c r="G66" s="2">
        <v>944</v>
      </c>
      <c r="H66" s="2">
        <v>995</v>
      </c>
      <c r="I66" s="2">
        <v>535</v>
      </c>
      <c r="J66" s="2">
        <v>1081</v>
      </c>
      <c r="K66" s="2">
        <v>1652</v>
      </c>
      <c r="L66" s="2">
        <v>1584</v>
      </c>
      <c r="M66" s="2">
        <v>50762</v>
      </c>
      <c r="N66" s="2">
        <v>1695</v>
      </c>
      <c r="O66" s="2">
        <v>833</v>
      </c>
      <c r="P66" s="2">
        <v>965</v>
      </c>
      <c r="Q66" s="2">
        <v>564</v>
      </c>
      <c r="R66" s="2">
        <v>94</v>
      </c>
    </row>
    <row r="67" spans="1:18" ht="9.75" customHeight="1">
      <c r="A67" s="3" t="s">
        <v>104</v>
      </c>
      <c r="C67" s="2">
        <v>1867</v>
      </c>
      <c r="D67" s="2">
        <v>47926</v>
      </c>
      <c r="E67" s="2">
        <v>765</v>
      </c>
      <c r="F67" s="2">
        <v>37749</v>
      </c>
      <c r="G67" s="2">
        <v>944</v>
      </c>
      <c r="H67" s="2">
        <v>995</v>
      </c>
      <c r="I67" s="2">
        <v>535</v>
      </c>
      <c r="J67" s="2">
        <v>1081</v>
      </c>
      <c r="K67" s="2">
        <v>1652</v>
      </c>
      <c r="L67" s="2">
        <v>1584</v>
      </c>
      <c r="M67" s="2">
        <v>50762</v>
      </c>
      <c r="N67" s="2">
        <v>1695</v>
      </c>
      <c r="O67" s="2">
        <v>833</v>
      </c>
      <c r="P67" s="2">
        <v>965</v>
      </c>
      <c r="Q67" s="2">
        <v>564</v>
      </c>
      <c r="R67" s="2">
        <v>94</v>
      </c>
    </row>
    <row r="68" spans="2:18" s="4" customFormat="1" ht="9.75" customHeight="1">
      <c r="B68" s="6" t="s">
        <v>105</v>
      </c>
      <c r="C68" s="4">
        <f aca="true" t="shared" si="6" ref="C68:J68">C67/91862</f>
        <v>0.020323964207180335</v>
      </c>
      <c r="D68" s="4">
        <f t="shared" si="6"/>
        <v>0.5217173586466657</v>
      </c>
      <c r="E68" s="4">
        <f t="shared" si="6"/>
        <v>0.008327708954736453</v>
      </c>
      <c r="F68" s="4">
        <f t="shared" si="6"/>
        <v>0.41093161481352464</v>
      </c>
      <c r="G68" s="4">
        <f t="shared" si="6"/>
        <v>0.010276283991204197</v>
      </c>
      <c r="H68" s="4">
        <f t="shared" si="6"/>
        <v>0.010831464588186629</v>
      </c>
      <c r="I68" s="4">
        <f t="shared" si="6"/>
        <v>0.005823953321286277</v>
      </c>
      <c r="J68" s="4">
        <f t="shared" si="6"/>
        <v>0.011767651477215823</v>
      </c>
      <c r="K68" s="4">
        <f>K67/55693</f>
        <v>0.02966261469125384</v>
      </c>
      <c r="L68" s="4">
        <f>L67/55693</f>
        <v>0.02844163539403516</v>
      </c>
      <c r="M68" s="4">
        <f>M67/55693</f>
        <v>0.9114610453737454</v>
      </c>
      <c r="N68" s="4">
        <f>N67/55693</f>
        <v>0.03043470454096565</v>
      </c>
      <c r="O68" s="4">
        <f>O67/833</f>
        <v>1</v>
      </c>
      <c r="P68" s="4">
        <f>P67/965</f>
        <v>1</v>
      </c>
      <c r="Q68" s="4">
        <f>Q67/564</f>
        <v>1</v>
      </c>
      <c r="R68" s="4">
        <f>R67/94</f>
        <v>1</v>
      </c>
    </row>
    <row r="69" spans="2:18" ht="4.5" customHeight="1"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9.75" customHeight="1">
      <c r="A70" s="3" t="s">
        <v>47</v>
      </c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ht="9.75" customHeight="1">
      <c r="B71" s="5" t="s">
        <v>27</v>
      </c>
      <c r="C71" s="2">
        <v>1370</v>
      </c>
      <c r="D71" s="2">
        <v>24162</v>
      </c>
      <c r="E71" s="2">
        <v>306</v>
      </c>
      <c r="F71" s="2">
        <v>22338</v>
      </c>
      <c r="G71" s="2">
        <v>307</v>
      </c>
      <c r="H71" s="2">
        <v>486</v>
      </c>
      <c r="I71" s="2">
        <v>174</v>
      </c>
      <c r="J71" s="2">
        <v>470</v>
      </c>
      <c r="K71" s="2">
        <v>368</v>
      </c>
      <c r="L71" s="2">
        <v>283</v>
      </c>
      <c r="M71" s="2">
        <v>8205</v>
      </c>
      <c r="N71" s="2">
        <v>393</v>
      </c>
      <c r="O71" s="2">
        <v>332</v>
      </c>
      <c r="P71" s="2">
        <v>1110</v>
      </c>
      <c r="Q71" s="2">
        <v>188</v>
      </c>
      <c r="R71" s="2">
        <v>90</v>
      </c>
    </row>
    <row r="72" spans="2:18" ht="9.75" customHeight="1">
      <c r="B72" s="5" t="s">
        <v>46</v>
      </c>
      <c r="C72" s="2">
        <v>1013</v>
      </c>
      <c r="D72" s="2">
        <v>26721</v>
      </c>
      <c r="E72" s="2">
        <v>462</v>
      </c>
      <c r="F72" s="2">
        <v>24722</v>
      </c>
      <c r="G72" s="2">
        <v>361</v>
      </c>
      <c r="H72" s="2">
        <v>622</v>
      </c>
      <c r="I72" s="2">
        <v>352</v>
      </c>
      <c r="J72" s="2">
        <v>613</v>
      </c>
      <c r="K72" s="2">
        <v>723</v>
      </c>
      <c r="L72" s="2">
        <v>763</v>
      </c>
      <c r="M72" s="2">
        <v>18163</v>
      </c>
      <c r="N72" s="2">
        <v>718</v>
      </c>
      <c r="O72" s="2">
        <v>401</v>
      </c>
      <c r="P72" s="2">
        <v>632</v>
      </c>
      <c r="Q72" s="2">
        <v>237</v>
      </c>
      <c r="R72" s="2">
        <v>41</v>
      </c>
    </row>
    <row r="73" spans="1:18" ht="9.75" customHeight="1">
      <c r="A73" s="3" t="s">
        <v>104</v>
      </c>
      <c r="C73" s="2">
        <v>2383</v>
      </c>
      <c r="D73" s="2">
        <v>50883</v>
      </c>
      <c r="E73" s="2">
        <v>768</v>
      </c>
      <c r="F73" s="2">
        <v>47060</v>
      </c>
      <c r="G73" s="2">
        <v>668</v>
      </c>
      <c r="H73" s="2">
        <v>1108</v>
      </c>
      <c r="I73" s="2">
        <v>526</v>
      </c>
      <c r="J73" s="2">
        <v>1083</v>
      </c>
      <c r="K73" s="2">
        <v>1091</v>
      </c>
      <c r="L73" s="2">
        <v>1046</v>
      </c>
      <c r="M73" s="2">
        <v>26368</v>
      </c>
      <c r="N73" s="2">
        <v>1111</v>
      </c>
      <c r="O73" s="2">
        <v>733</v>
      </c>
      <c r="P73" s="2">
        <v>1742</v>
      </c>
      <c r="Q73" s="2">
        <v>425</v>
      </c>
      <c r="R73" s="2">
        <v>131</v>
      </c>
    </row>
    <row r="74" spans="2:18" s="4" customFormat="1" ht="9.75" customHeight="1">
      <c r="B74" s="6" t="s">
        <v>105</v>
      </c>
      <c r="C74" s="4">
        <f aca="true" t="shared" si="7" ref="C74:J74">C73/104479</f>
        <v>0.022808411259678977</v>
      </c>
      <c r="D74" s="4">
        <f t="shared" si="7"/>
        <v>0.48701652963753483</v>
      </c>
      <c r="E74" s="4">
        <f t="shared" si="7"/>
        <v>0.007350759482766872</v>
      </c>
      <c r="F74" s="4">
        <f t="shared" si="7"/>
        <v>0.45042544434766796</v>
      </c>
      <c r="G74" s="4">
        <f t="shared" si="7"/>
        <v>0.006393629341781602</v>
      </c>
      <c r="H74" s="4">
        <f t="shared" si="7"/>
        <v>0.010605001962116788</v>
      </c>
      <c r="I74" s="4">
        <f t="shared" si="7"/>
        <v>0.005034504541582519</v>
      </c>
      <c r="J74" s="4">
        <f t="shared" si="7"/>
        <v>0.010365719426870472</v>
      </c>
      <c r="K74" s="4">
        <f>K73/29616</f>
        <v>0.036838195569962186</v>
      </c>
      <c r="L74" s="4">
        <f>L73/29616</f>
        <v>0.035318746623446785</v>
      </c>
      <c r="M74" s="4">
        <f>M73/29616</f>
        <v>0.8903295515937332</v>
      </c>
      <c r="N74" s="4">
        <f>N73/29616</f>
        <v>0.037513506212857914</v>
      </c>
      <c r="O74" s="4">
        <f>O73/733</f>
        <v>1</v>
      </c>
      <c r="P74" s="4">
        <f>P73/1742</f>
        <v>1</v>
      </c>
      <c r="Q74" s="4">
        <f>Q73/425</f>
        <v>1</v>
      </c>
      <c r="R74" s="4">
        <f>R73/131</f>
        <v>1</v>
      </c>
    </row>
    <row r="75" spans="2:18" ht="5.25" customHeight="1"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9.75" customHeight="1">
      <c r="A76" s="3" t="s">
        <v>49</v>
      </c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9.75" customHeight="1">
      <c r="B77" s="5" t="s">
        <v>48</v>
      </c>
      <c r="C77" s="2">
        <v>2765</v>
      </c>
      <c r="D77" s="2">
        <v>69366</v>
      </c>
      <c r="E77" s="2">
        <v>471</v>
      </c>
      <c r="F77" s="2">
        <v>40314</v>
      </c>
      <c r="G77" s="2">
        <v>890</v>
      </c>
      <c r="H77" s="2">
        <v>1209</v>
      </c>
      <c r="I77" s="2">
        <v>473</v>
      </c>
      <c r="J77" s="2">
        <v>1169</v>
      </c>
      <c r="K77" s="2">
        <v>874</v>
      </c>
      <c r="L77" s="2">
        <v>703</v>
      </c>
      <c r="M77" s="2">
        <v>19372</v>
      </c>
      <c r="N77" s="2">
        <v>811</v>
      </c>
      <c r="O77" s="2">
        <v>444</v>
      </c>
      <c r="P77" s="2">
        <v>3679</v>
      </c>
      <c r="Q77" s="2">
        <v>407</v>
      </c>
      <c r="R77" s="2">
        <v>285</v>
      </c>
    </row>
    <row r="78" spans="2:18" ht="9.75" customHeight="1">
      <c r="B78" s="5" t="s">
        <v>44</v>
      </c>
      <c r="C78" s="2">
        <v>336</v>
      </c>
      <c r="D78" s="2">
        <v>4447</v>
      </c>
      <c r="E78" s="2">
        <v>19</v>
      </c>
      <c r="F78" s="2">
        <v>2941</v>
      </c>
      <c r="G78" s="2">
        <v>69</v>
      </c>
      <c r="H78" s="2">
        <v>144</v>
      </c>
      <c r="I78" s="2">
        <v>31</v>
      </c>
      <c r="J78" s="2">
        <v>78</v>
      </c>
      <c r="K78" s="2">
        <v>43</v>
      </c>
      <c r="L78" s="2">
        <v>43</v>
      </c>
      <c r="M78" s="2">
        <v>720</v>
      </c>
      <c r="N78" s="2">
        <v>70</v>
      </c>
      <c r="O78" s="2">
        <v>49</v>
      </c>
      <c r="P78" s="2">
        <v>134</v>
      </c>
      <c r="Q78" s="2">
        <v>27</v>
      </c>
      <c r="R78" s="2">
        <v>21</v>
      </c>
    </row>
    <row r="79" spans="1:18" ht="9.75" customHeight="1">
      <c r="A79" s="3" t="s">
        <v>104</v>
      </c>
      <c r="C79" s="2">
        <v>3101</v>
      </c>
      <c r="D79" s="2">
        <v>73813</v>
      </c>
      <c r="E79" s="2">
        <v>490</v>
      </c>
      <c r="F79" s="2">
        <v>43255</v>
      </c>
      <c r="G79" s="2">
        <v>959</v>
      </c>
      <c r="H79" s="2">
        <v>1353</v>
      </c>
      <c r="I79" s="2">
        <v>504</v>
      </c>
      <c r="J79" s="2">
        <v>1247</v>
      </c>
      <c r="K79" s="2">
        <v>917</v>
      </c>
      <c r="L79" s="2">
        <v>746</v>
      </c>
      <c r="M79" s="2">
        <v>20092</v>
      </c>
      <c r="N79" s="2">
        <v>881</v>
      </c>
      <c r="O79" s="2">
        <v>493</v>
      </c>
      <c r="P79" s="2">
        <v>3813</v>
      </c>
      <c r="Q79" s="2">
        <v>434</v>
      </c>
      <c r="R79" s="2">
        <v>306</v>
      </c>
    </row>
    <row r="80" spans="2:18" s="4" customFormat="1" ht="9.75" customHeight="1">
      <c r="B80" s="6" t="s">
        <v>105</v>
      </c>
      <c r="C80" s="4">
        <f aca="true" t="shared" si="8" ref="C80:J80">C79/124722</f>
        <v>0.024863295970237807</v>
      </c>
      <c r="D80" s="4">
        <f t="shared" si="8"/>
        <v>0.5918202081429098</v>
      </c>
      <c r="E80" s="4">
        <f t="shared" si="8"/>
        <v>0.003928737512227194</v>
      </c>
      <c r="F80" s="4">
        <f t="shared" si="8"/>
        <v>0.34681130834976986</v>
      </c>
      <c r="G80" s="4">
        <f t="shared" si="8"/>
        <v>0.00768910055964465</v>
      </c>
      <c r="H80" s="4">
        <f t="shared" si="8"/>
        <v>0.010848126232741617</v>
      </c>
      <c r="I80" s="4">
        <f t="shared" si="8"/>
        <v>0.004040987155433684</v>
      </c>
      <c r="J80" s="4">
        <f t="shared" si="8"/>
        <v>0.009998236077035327</v>
      </c>
      <c r="K80" s="4">
        <f>K79/22636</f>
        <v>0.04051069093479413</v>
      </c>
      <c r="L80" s="4">
        <f>L79/22636</f>
        <v>0.03295635271249337</v>
      </c>
      <c r="M80" s="4">
        <f>M79/22636</f>
        <v>0.887612652412087</v>
      </c>
      <c r="N80" s="4">
        <f>N79/22636</f>
        <v>0.03892030394062555</v>
      </c>
      <c r="O80" s="4">
        <f>O79/493</f>
        <v>1</v>
      </c>
      <c r="P80" s="4">
        <f>P79/3813</f>
        <v>1</v>
      </c>
      <c r="Q80" s="4">
        <f>Q79/434</f>
        <v>1</v>
      </c>
      <c r="R80" s="4">
        <f>R79/306</f>
        <v>1</v>
      </c>
    </row>
    <row r="81" spans="2:18" ht="4.5" customHeight="1"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9.75" customHeight="1">
      <c r="A82" s="3" t="s">
        <v>51</v>
      </c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ht="9.75" customHeight="1">
      <c r="B83" s="5" t="s">
        <v>48</v>
      </c>
      <c r="C83" s="2">
        <v>1670</v>
      </c>
      <c r="D83" s="2">
        <v>32386</v>
      </c>
      <c r="E83" s="2">
        <v>625</v>
      </c>
      <c r="F83" s="2">
        <v>25018</v>
      </c>
      <c r="G83" s="2">
        <v>516</v>
      </c>
      <c r="H83" s="2">
        <v>700</v>
      </c>
      <c r="I83" s="2">
        <v>522</v>
      </c>
      <c r="J83" s="2">
        <v>913</v>
      </c>
      <c r="K83" s="2">
        <v>1091</v>
      </c>
      <c r="L83" s="2">
        <v>806</v>
      </c>
      <c r="M83" s="2">
        <v>20710</v>
      </c>
      <c r="N83" s="2">
        <v>988</v>
      </c>
      <c r="O83" s="2">
        <v>417</v>
      </c>
      <c r="P83" s="2">
        <v>480</v>
      </c>
      <c r="Q83" s="2">
        <v>291</v>
      </c>
      <c r="R83" s="2">
        <v>53</v>
      </c>
    </row>
    <row r="84" spans="2:18" ht="9.75" customHeight="1">
      <c r="B84" s="5" t="s">
        <v>50</v>
      </c>
      <c r="C84" s="2">
        <v>322</v>
      </c>
      <c r="D84" s="2">
        <v>3935</v>
      </c>
      <c r="E84" s="2">
        <v>138</v>
      </c>
      <c r="F84" s="2">
        <v>4552</v>
      </c>
      <c r="G84" s="2">
        <v>163</v>
      </c>
      <c r="H84" s="2">
        <v>185</v>
      </c>
      <c r="I84" s="2">
        <v>86</v>
      </c>
      <c r="J84" s="2">
        <v>201</v>
      </c>
      <c r="K84" s="2">
        <v>245</v>
      </c>
      <c r="L84" s="2">
        <v>169</v>
      </c>
      <c r="M84" s="2">
        <v>4250</v>
      </c>
      <c r="N84" s="2">
        <v>275</v>
      </c>
      <c r="O84" s="2">
        <v>148</v>
      </c>
      <c r="P84" s="2">
        <v>62</v>
      </c>
      <c r="Q84" s="2">
        <v>57</v>
      </c>
      <c r="R84" s="2">
        <v>17</v>
      </c>
    </row>
    <row r="85" spans="1:18" ht="9.75" customHeight="1">
      <c r="A85" s="3" t="s">
        <v>104</v>
      </c>
      <c r="C85" s="2">
        <v>1992</v>
      </c>
      <c r="D85" s="2">
        <v>36321</v>
      </c>
      <c r="E85" s="2">
        <v>763</v>
      </c>
      <c r="F85" s="2">
        <v>29570</v>
      </c>
      <c r="G85" s="2">
        <v>679</v>
      </c>
      <c r="H85" s="2">
        <v>885</v>
      </c>
      <c r="I85" s="2">
        <v>608</v>
      </c>
      <c r="J85" s="2">
        <v>1114</v>
      </c>
      <c r="K85" s="2">
        <v>1336</v>
      </c>
      <c r="L85" s="2">
        <v>975</v>
      </c>
      <c r="M85" s="2">
        <v>24960</v>
      </c>
      <c r="N85" s="2">
        <v>1263</v>
      </c>
      <c r="O85" s="2">
        <v>565</v>
      </c>
      <c r="P85" s="2">
        <v>542</v>
      </c>
      <c r="Q85" s="2">
        <v>348</v>
      </c>
      <c r="R85" s="2">
        <v>70</v>
      </c>
    </row>
    <row r="86" spans="2:18" s="4" customFormat="1" ht="9.75" customHeight="1">
      <c r="B86" s="6" t="s">
        <v>105</v>
      </c>
      <c r="C86" s="4">
        <f aca="true" t="shared" si="9" ref="C86:J86">C85/71932</f>
        <v>0.027692820997608853</v>
      </c>
      <c r="D86" s="4">
        <f t="shared" si="9"/>
        <v>0.5049352165934494</v>
      </c>
      <c r="E86" s="4">
        <f t="shared" si="9"/>
        <v>0.01060724017127287</v>
      </c>
      <c r="F86" s="4">
        <f t="shared" si="9"/>
        <v>0.4110826892064728</v>
      </c>
      <c r="G86" s="4">
        <f t="shared" si="9"/>
        <v>0.009439470611132737</v>
      </c>
      <c r="H86" s="4">
        <f t="shared" si="9"/>
        <v>0.01230328643719068</v>
      </c>
      <c r="I86" s="4">
        <f t="shared" si="9"/>
        <v>0.008452427292442864</v>
      </c>
      <c r="J86" s="4">
        <f t="shared" si="9"/>
        <v>0.01548684869042985</v>
      </c>
      <c r="K86" s="4">
        <f>K85/28534</f>
        <v>0.04682133595009463</v>
      </c>
      <c r="L86" s="4">
        <f>L85/28534</f>
        <v>0.034169762388729236</v>
      </c>
      <c r="M86" s="4">
        <f>M85/28534</f>
        <v>0.8747459171514684</v>
      </c>
      <c r="N86" s="4">
        <f>N85/28534</f>
        <v>0.04426298450970772</v>
      </c>
      <c r="O86" s="4">
        <f>O85/565</f>
        <v>1</v>
      </c>
      <c r="P86" s="4">
        <f>P85/542</f>
        <v>1</v>
      </c>
      <c r="Q86" s="4">
        <f>Q85/348</f>
        <v>1</v>
      </c>
      <c r="R86" s="4">
        <f>R85/70</f>
        <v>1</v>
      </c>
    </row>
    <row r="87" spans="2:18" ht="4.5" customHeight="1"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9.75" customHeight="1">
      <c r="A88" s="3" t="s">
        <v>53</v>
      </c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9.75" customHeight="1">
      <c r="B89" s="5" t="s">
        <v>46</v>
      </c>
      <c r="C89" s="2">
        <v>350</v>
      </c>
      <c r="D89" s="2">
        <v>9301</v>
      </c>
      <c r="E89" s="2">
        <v>114</v>
      </c>
      <c r="F89" s="2">
        <v>10152</v>
      </c>
      <c r="G89" s="2">
        <v>109</v>
      </c>
      <c r="H89" s="2">
        <v>291</v>
      </c>
      <c r="I89" s="2">
        <v>65</v>
      </c>
      <c r="J89" s="2">
        <v>237</v>
      </c>
      <c r="K89" s="2">
        <v>385</v>
      </c>
      <c r="L89" s="2">
        <v>275</v>
      </c>
      <c r="M89" s="2">
        <v>8951</v>
      </c>
      <c r="N89" s="2">
        <v>310</v>
      </c>
      <c r="O89" s="2">
        <v>139</v>
      </c>
      <c r="P89" s="2">
        <v>306</v>
      </c>
      <c r="Q89" s="2">
        <v>129</v>
      </c>
      <c r="R89" s="2">
        <v>22</v>
      </c>
    </row>
    <row r="90" spans="2:18" ht="9.75" customHeight="1">
      <c r="B90" s="5" t="s">
        <v>50</v>
      </c>
      <c r="C90" s="2">
        <v>986</v>
      </c>
      <c r="D90" s="2">
        <v>23824</v>
      </c>
      <c r="E90" s="2">
        <v>428</v>
      </c>
      <c r="F90" s="2">
        <v>25912</v>
      </c>
      <c r="G90" s="2">
        <v>587</v>
      </c>
      <c r="H90" s="2">
        <v>665</v>
      </c>
      <c r="I90" s="2">
        <v>303</v>
      </c>
      <c r="J90" s="2">
        <v>685</v>
      </c>
      <c r="K90" s="2">
        <v>1249</v>
      </c>
      <c r="L90" s="2">
        <v>942</v>
      </c>
      <c r="M90" s="2">
        <v>27551</v>
      </c>
      <c r="N90" s="2">
        <v>1101</v>
      </c>
      <c r="O90" s="2">
        <v>622</v>
      </c>
      <c r="P90" s="2">
        <v>592</v>
      </c>
      <c r="Q90" s="2">
        <v>433</v>
      </c>
      <c r="R90" s="2">
        <v>41</v>
      </c>
    </row>
    <row r="91" spans="2:18" ht="9.75" customHeight="1">
      <c r="B91" s="5" t="s">
        <v>52</v>
      </c>
      <c r="C91" s="2">
        <v>631</v>
      </c>
      <c r="D91" s="2">
        <v>10774</v>
      </c>
      <c r="E91" s="2">
        <v>211</v>
      </c>
      <c r="F91" s="2">
        <v>9375</v>
      </c>
      <c r="G91" s="2">
        <v>109</v>
      </c>
      <c r="H91" s="2">
        <v>450</v>
      </c>
      <c r="I91" s="2">
        <v>136</v>
      </c>
      <c r="J91" s="2">
        <v>364</v>
      </c>
      <c r="K91" s="2">
        <v>250</v>
      </c>
      <c r="L91" s="2">
        <v>239</v>
      </c>
      <c r="M91" s="2">
        <v>5719</v>
      </c>
      <c r="N91" s="2">
        <v>218</v>
      </c>
      <c r="O91" s="2">
        <v>216</v>
      </c>
      <c r="P91" s="2">
        <v>1053</v>
      </c>
      <c r="Q91" s="2">
        <v>193</v>
      </c>
      <c r="R91" s="2">
        <v>60</v>
      </c>
    </row>
    <row r="92" spans="1:18" ht="9.75" customHeight="1">
      <c r="A92" s="3" t="s">
        <v>104</v>
      </c>
      <c r="C92" s="2">
        <v>1967</v>
      </c>
      <c r="D92" s="2">
        <v>43899</v>
      </c>
      <c r="E92" s="2">
        <v>753</v>
      </c>
      <c r="F92" s="2">
        <v>45439</v>
      </c>
      <c r="G92" s="2">
        <v>805</v>
      </c>
      <c r="H92" s="2">
        <v>1406</v>
      </c>
      <c r="I92" s="2">
        <v>504</v>
      </c>
      <c r="J92" s="2">
        <v>1286</v>
      </c>
      <c r="K92" s="2">
        <v>1884</v>
      </c>
      <c r="L92" s="2">
        <v>1456</v>
      </c>
      <c r="M92" s="2">
        <v>42221</v>
      </c>
      <c r="N92" s="2">
        <v>1629</v>
      </c>
      <c r="O92" s="2">
        <v>977</v>
      </c>
      <c r="P92" s="2">
        <v>1951</v>
      </c>
      <c r="Q92" s="2">
        <v>755</v>
      </c>
      <c r="R92" s="2">
        <v>123</v>
      </c>
    </row>
    <row r="93" spans="2:18" s="4" customFormat="1" ht="9.75" customHeight="1">
      <c r="B93" s="6" t="s">
        <v>105</v>
      </c>
      <c r="C93" s="4">
        <f aca="true" t="shared" si="10" ref="C93:J93">C92/96059</f>
        <v>0.020476998511331578</v>
      </c>
      <c r="D93" s="4">
        <f t="shared" si="10"/>
        <v>0.4570003851799415</v>
      </c>
      <c r="E93" s="4">
        <f t="shared" si="10"/>
        <v>0.007838932322843252</v>
      </c>
      <c r="F93" s="4">
        <f t="shared" si="10"/>
        <v>0.4730321989610552</v>
      </c>
      <c r="G93" s="4">
        <f t="shared" si="10"/>
        <v>0.008380266294673066</v>
      </c>
      <c r="H93" s="4">
        <f t="shared" si="10"/>
        <v>0.01463683777678302</v>
      </c>
      <c r="I93" s="4">
        <f t="shared" si="10"/>
        <v>0.005246775419273571</v>
      </c>
      <c r="J93" s="4">
        <f t="shared" si="10"/>
        <v>0.013387605534098835</v>
      </c>
      <c r="K93" s="4">
        <f>K92/47190</f>
        <v>0.03992371265098538</v>
      </c>
      <c r="L93" s="4">
        <f>L92/47190</f>
        <v>0.03085399449035813</v>
      </c>
      <c r="M93" s="4">
        <f>M92/47190</f>
        <v>0.8947022674295402</v>
      </c>
      <c r="N93" s="4">
        <f>N92/47190</f>
        <v>0.034520025429116336</v>
      </c>
      <c r="O93" s="4">
        <f>O92/977</f>
        <v>1</v>
      </c>
      <c r="P93" s="4">
        <f>P92/1951</f>
        <v>1</v>
      </c>
      <c r="Q93" s="4">
        <f>Q92/755</f>
        <v>1</v>
      </c>
      <c r="R93" s="4">
        <f>R92/123</f>
        <v>1</v>
      </c>
    </row>
    <row r="94" spans="2:18" ht="4.5" customHeight="1"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9.75" customHeight="1">
      <c r="A95" s="3" t="s">
        <v>59</v>
      </c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ht="9.75" customHeight="1">
      <c r="B96" s="5" t="s">
        <v>54</v>
      </c>
      <c r="C96" s="2">
        <v>113</v>
      </c>
      <c r="D96" s="2">
        <v>786</v>
      </c>
      <c r="E96" s="2">
        <v>24</v>
      </c>
      <c r="F96" s="2">
        <v>1562</v>
      </c>
      <c r="G96" s="2">
        <v>34</v>
      </c>
      <c r="H96" s="2">
        <v>55</v>
      </c>
      <c r="I96" s="2">
        <v>29</v>
      </c>
      <c r="J96" s="2">
        <v>73</v>
      </c>
      <c r="K96" s="2">
        <v>110</v>
      </c>
      <c r="L96" s="2">
        <v>95</v>
      </c>
      <c r="M96" s="2">
        <v>2321</v>
      </c>
      <c r="N96" s="2">
        <v>132</v>
      </c>
      <c r="O96" s="2">
        <v>43</v>
      </c>
      <c r="P96" s="2">
        <v>8</v>
      </c>
      <c r="Q96" s="2">
        <v>8</v>
      </c>
      <c r="R96" s="2">
        <v>1</v>
      </c>
    </row>
    <row r="97" spans="2:18" ht="9.75" customHeight="1">
      <c r="B97" s="5" t="s">
        <v>55</v>
      </c>
      <c r="C97" s="2">
        <v>332</v>
      </c>
      <c r="D97" s="2">
        <v>3622</v>
      </c>
      <c r="E97" s="2">
        <v>140</v>
      </c>
      <c r="F97" s="2">
        <v>5565</v>
      </c>
      <c r="G97" s="2">
        <v>140</v>
      </c>
      <c r="H97" s="2">
        <v>145</v>
      </c>
      <c r="I97" s="2">
        <v>116</v>
      </c>
      <c r="J97" s="2">
        <v>174</v>
      </c>
      <c r="K97" s="2">
        <v>372</v>
      </c>
      <c r="L97" s="2">
        <v>337</v>
      </c>
      <c r="M97" s="2">
        <v>8856</v>
      </c>
      <c r="N97" s="2">
        <v>541</v>
      </c>
      <c r="O97" s="2">
        <v>152</v>
      </c>
      <c r="P97" s="2">
        <v>59</v>
      </c>
      <c r="Q97" s="2">
        <v>41</v>
      </c>
      <c r="R97" s="2">
        <v>10</v>
      </c>
    </row>
    <row r="98" spans="2:18" ht="9.75" customHeight="1">
      <c r="B98" s="5" t="s">
        <v>56</v>
      </c>
      <c r="C98" s="2">
        <v>609</v>
      </c>
      <c r="D98" s="2">
        <v>4505</v>
      </c>
      <c r="E98" s="2">
        <v>119</v>
      </c>
      <c r="F98" s="2">
        <v>4670</v>
      </c>
      <c r="G98" s="2">
        <v>234</v>
      </c>
      <c r="H98" s="2">
        <v>192</v>
      </c>
      <c r="I98" s="2">
        <v>101</v>
      </c>
      <c r="J98" s="2">
        <v>285</v>
      </c>
      <c r="K98" s="2">
        <v>204</v>
      </c>
      <c r="L98" s="2">
        <v>216</v>
      </c>
      <c r="M98" s="2">
        <v>4990</v>
      </c>
      <c r="N98" s="2">
        <v>297</v>
      </c>
      <c r="O98" s="2">
        <v>98</v>
      </c>
      <c r="P98" s="2">
        <v>62</v>
      </c>
      <c r="Q98" s="2">
        <v>34</v>
      </c>
      <c r="R98" s="2">
        <v>12</v>
      </c>
    </row>
    <row r="99" spans="2:18" ht="9.75" customHeight="1">
      <c r="B99" s="5" t="s">
        <v>57</v>
      </c>
      <c r="C99" s="2">
        <v>230</v>
      </c>
      <c r="D99" s="2">
        <v>2181</v>
      </c>
      <c r="E99" s="2">
        <v>60</v>
      </c>
      <c r="F99" s="2">
        <v>2083</v>
      </c>
      <c r="G99" s="2">
        <v>77</v>
      </c>
      <c r="H99" s="2">
        <v>79</v>
      </c>
      <c r="I99" s="2">
        <v>43</v>
      </c>
      <c r="J99" s="2">
        <v>136</v>
      </c>
      <c r="K99" s="2">
        <v>142</v>
      </c>
      <c r="L99" s="2">
        <v>113</v>
      </c>
      <c r="M99" s="2">
        <v>3360</v>
      </c>
      <c r="N99" s="2">
        <v>122</v>
      </c>
      <c r="O99" s="2">
        <v>79</v>
      </c>
      <c r="P99" s="2">
        <v>40</v>
      </c>
      <c r="Q99" s="2">
        <v>28</v>
      </c>
      <c r="R99" s="2">
        <v>5</v>
      </c>
    </row>
    <row r="100" spans="2:18" ht="9.75" customHeight="1">
      <c r="B100" s="5" t="s">
        <v>58</v>
      </c>
      <c r="C100" s="2">
        <v>659</v>
      </c>
      <c r="D100" s="2">
        <v>8000</v>
      </c>
      <c r="E100" s="2">
        <v>216</v>
      </c>
      <c r="F100" s="2">
        <v>8386</v>
      </c>
      <c r="G100" s="2">
        <v>256</v>
      </c>
      <c r="H100" s="2">
        <v>257</v>
      </c>
      <c r="I100" s="2">
        <v>296</v>
      </c>
      <c r="J100" s="2">
        <v>300</v>
      </c>
      <c r="K100" s="2">
        <v>621</v>
      </c>
      <c r="L100" s="2">
        <v>476</v>
      </c>
      <c r="M100" s="2">
        <v>13793</v>
      </c>
      <c r="N100" s="2">
        <v>962</v>
      </c>
      <c r="O100" s="2">
        <v>258</v>
      </c>
      <c r="P100" s="2">
        <v>103</v>
      </c>
      <c r="Q100" s="2">
        <v>86</v>
      </c>
      <c r="R100" s="2">
        <v>30</v>
      </c>
    </row>
    <row r="101" spans="1:18" ht="9.75" customHeight="1">
      <c r="A101" s="3" t="s">
        <v>104</v>
      </c>
      <c r="C101" s="2">
        <v>1943</v>
      </c>
      <c r="D101" s="2">
        <v>19094</v>
      </c>
      <c r="E101" s="2">
        <v>559</v>
      </c>
      <c r="F101" s="2">
        <v>22266</v>
      </c>
      <c r="G101" s="2">
        <v>741</v>
      </c>
      <c r="H101" s="2">
        <v>728</v>
      </c>
      <c r="I101" s="2">
        <v>585</v>
      </c>
      <c r="J101" s="2">
        <v>968</v>
      </c>
      <c r="K101" s="2">
        <v>1449</v>
      </c>
      <c r="L101" s="2">
        <v>1237</v>
      </c>
      <c r="M101" s="2">
        <v>33320</v>
      </c>
      <c r="N101" s="2">
        <v>2054</v>
      </c>
      <c r="O101" s="2">
        <v>630</v>
      </c>
      <c r="P101" s="2">
        <v>272</v>
      </c>
      <c r="Q101" s="2">
        <v>197</v>
      </c>
      <c r="R101" s="2">
        <v>58</v>
      </c>
    </row>
    <row r="102" spans="2:18" s="4" customFormat="1" ht="9.75" customHeight="1">
      <c r="B102" s="6" t="s">
        <v>105</v>
      </c>
      <c r="C102" s="4">
        <f aca="true" t="shared" si="11" ref="C102:J102">C101/46884</f>
        <v>0.04144270966641071</v>
      </c>
      <c r="D102" s="4">
        <f t="shared" si="11"/>
        <v>0.40726047265591675</v>
      </c>
      <c r="E102" s="4">
        <f t="shared" si="11"/>
        <v>0.011923044108864432</v>
      </c>
      <c r="F102" s="4">
        <f t="shared" si="11"/>
        <v>0.4749168159713335</v>
      </c>
      <c r="G102" s="4">
        <f t="shared" si="11"/>
        <v>0.015804965446634248</v>
      </c>
      <c r="H102" s="4">
        <f t="shared" si="11"/>
        <v>0.015527685351079259</v>
      </c>
      <c r="I102" s="4">
        <f t="shared" si="11"/>
        <v>0.012477604299974404</v>
      </c>
      <c r="J102" s="4">
        <f t="shared" si="11"/>
        <v>0.020646702499786708</v>
      </c>
      <c r="K102" s="4">
        <f>K101/38060</f>
        <v>0.038071466106148186</v>
      </c>
      <c r="L102" s="4">
        <f>L101/38060</f>
        <v>0.032501313715186546</v>
      </c>
      <c r="M102" s="4">
        <f>M101/38060</f>
        <v>0.8754598003152917</v>
      </c>
      <c r="N102" s="4">
        <f>N101/38060</f>
        <v>0.05396741986337362</v>
      </c>
      <c r="O102" s="4">
        <f>O101/630</f>
        <v>1</v>
      </c>
      <c r="P102" s="4">
        <f>P101/272</f>
        <v>1</v>
      </c>
      <c r="Q102" s="4">
        <f>Q101/197</f>
        <v>1</v>
      </c>
      <c r="R102" s="4">
        <f>R101/58</f>
        <v>1</v>
      </c>
    </row>
    <row r="103" spans="2:18" ht="4.5" customHeight="1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9.75" customHeight="1">
      <c r="A104" s="3" t="s">
        <v>60</v>
      </c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9.75" customHeight="1">
      <c r="B105" s="5" t="s">
        <v>50</v>
      </c>
      <c r="C105" s="2">
        <v>1658</v>
      </c>
      <c r="D105" s="2">
        <v>28189</v>
      </c>
      <c r="E105" s="2">
        <v>528</v>
      </c>
      <c r="F105" s="2">
        <v>28292</v>
      </c>
      <c r="G105" s="2">
        <v>935</v>
      </c>
      <c r="H105" s="2">
        <v>1026</v>
      </c>
      <c r="I105" s="2">
        <v>432</v>
      </c>
      <c r="J105" s="2">
        <v>863</v>
      </c>
      <c r="K105" s="2">
        <v>1264</v>
      </c>
      <c r="L105" s="2">
        <v>1215</v>
      </c>
      <c r="M105" s="2">
        <v>22886</v>
      </c>
      <c r="N105" s="2">
        <v>1375</v>
      </c>
      <c r="O105" s="2">
        <v>810</v>
      </c>
      <c r="P105" s="2">
        <v>713</v>
      </c>
      <c r="Q105" s="2">
        <v>514</v>
      </c>
      <c r="R105" s="2">
        <v>105</v>
      </c>
    </row>
    <row r="106" spans="1:18" ht="9.75" customHeight="1">
      <c r="A106" s="3" t="s">
        <v>104</v>
      </c>
      <c r="C106" s="2">
        <v>1658</v>
      </c>
      <c r="D106" s="2">
        <v>28189</v>
      </c>
      <c r="E106" s="2">
        <v>528</v>
      </c>
      <c r="F106" s="2">
        <v>28292</v>
      </c>
      <c r="G106" s="2">
        <v>935</v>
      </c>
      <c r="H106" s="2">
        <v>1026</v>
      </c>
      <c r="I106" s="2">
        <v>432</v>
      </c>
      <c r="J106" s="2">
        <v>863</v>
      </c>
      <c r="K106" s="2">
        <v>1264</v>
      </c>
      <c r="L106" s="2">
        <v>1215</v>
      </c>
      <c r="M106" s="2">
        <v>22886</v>
      </c>
      <c r="N106" s="2">
        <v>1375</v>
      </c>
      <c r="O106" s="2">
        <v>810</v>
      </c>
      <c r="P106" s="2">
        <v>713</v>
      </c>
      <c r="Q106" s="2">
        <v>514</v>
      </c>
      <c r="R106" s="2">
        <v>105</v>
      </c>
    </row>
    <row r="107" spans="2:18" s="4" customFormat="1" ht="9.75" customHeight="1">
      <c r="B107" s="6" t="s">
        <v>105</v>
      </c>
      <c r="C107" s="4">
        <f aca="true" t="shared" si="12" ref="C107:J107">C106/61923</f>
        <v>0.026775188540606884</v>
      </c>
      <c r="D107" s="4">
        <f t="shared" si="12"/>
        <v>0.4552266524554689</v>
      </c>
      <c r="E107" s="4">
        <f t="shared" si="12"/>
        <v>0.008526718666731263</v>
      </c>
      <c r="F107" s="4">
        <f t="shared" si="12"/>
        <v>0.45689000855901685</v>
      </c>
      <c r="G107" s="4">
        <f t="shared" si="12"/>
        <v>0.015099397639003278</v>
      </c>
      <c r="H107" s="4">
        <f t="shared" si="12"/>
        <v>0.016568964681943705</v>
      </c>
      <c r="I107" s="4">
        <f t="shared" si="12"/>
        <v>0.006976406181871033</v>
      </c>
      <c r="J107" s="4">
        <f t="shared" si="12"/>
        <v>0.013936663275358106</v>
      </c>
      <c r="K107" s="4">
        <f>K106/26740</f>
        <v>0.04727000747943157</v>
      </c>
      <c r="L107" s="4">
        <f>L106/26740</f>
        <v>0.04543754674644727</v>
      </c>
      <c r="M107" s="4">
        <f>M106/26740</f>
        <v>0.855871353777113</v>
      </c>
      <c r="N107" s="4">
        <f>N106/26740</f>
        <v>0.05142109199700823</v>
      </c>
      <c r="O107" s="4">
        <f>O106/810</f>
        <v>1</v>
      </c>
      <c r="P107" s="4">
        <f>P106/713</f>
        <v>1</v>
      </c>
      <c r="Q107" s="4">
        <f>Q106/514</f>
        <v>1</v>
      </c>
      <c r="R107" s="4">
        <f>R106/105</f>
        <v>1</v>
      </c>
    </row>
    <row r="108" spans="2:18" ht="4.5" customHeight="1"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9.75" customHeight="1">
      <c r="A109" s="3" t="s">
        <v>64</v>
      </c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ht="9.75" customHeight="1">
      <c r="B110" s="5" t="s">
        <v>61</v>
      </c>
      <c r="C110" s="2">
        <v>769</v>
      </c>
      <c r="D110" s="2">
        <v>8977</v>
      </c>
      <c r="E110" s="2">
        <v>224</v>
      </c>
      <c r="F110" s="2">
        <v>16215</v>
      </c>
      <c r="G110" s="2">
        <v>256</v>
      </c>
      <c r="H110" s="2">
        <v>373</v>
      </c>
      <c r="I110" s="2">
        <v>164</v>
      </c>
      <c r="J110" s="2">
        <v>445</v>
      </c>
      <c r="K110" s="2">
        <v>985</v>
      </c>
      <c r="L110" s="2">
        <v>897</v>
      </c>
      <c r="M110" s="2">
        <v>37830</v>
      </c>
      <c r="N110" s="2">
        <v>1522</v>
      </c>
      <c r="O110" s="2">
        <v>322</v>
      </c>
      <c r="P110" s="2">
        <v>253</v>
      </c>
      <c r="Q110" s="2">
        <v>162</v>
      </c>
      <c r="R110" s="2">
        <v>36</v>
      </c>
    </row>
    <row r="111" spans="2:18" ht="9.75" customHeight="1">
      <c r="B111" s="5" t="s">
        <v>54</v>
      </c>
      <c r="C111" s="2">
        <v>167</v>
      </c>
      <c r="D111" s="2">
        <v>1268</v>
      </c>
      <c r="E111" s="2">
        <v>68</v>
      </c>
      <c r="F111" s="2">
        <v>2248</v>
      </c>
      <c r="G111" s="2">
        <v>50</v>
      </c>
      <c r="H111" s="2">
        <v>81</v>
      </c>
      <c r="I111" s="2">
        <v>54</v>
      </c>
      <c r="J111" s="2">
        <v>91</v>
      </c>
      <c r="K111" s="2">
        <v>267</v>
      </c>
      <c r="L111" s="2">
        <v>242</v>
      </c>
      <c r="M111" s="2">
        <v>6883</v>
      </c>
      <c r="N111" s="2">
        <v>413</v>
      </c>
      <c r="O111" s="2">
        <v>141</v>
      </c>
      <c r="P111" s="2">
        <v>58</v>
      </c>
      <c r="Q111" s="2">
        <v>52</v>
      </c>
      <c r="R111" s="2">
        <v>7</v>
      </c>
    </row>
    <row r="112" spans="2:18" ht="9.75" customHeight="1">
      <c r="B112" s="5" t="s">
        <v>62</v>
      </c>
      <c r="C112" s="2">
        <v>51</v>
      </c>
      <c r="D112" s="2">
        <v>824</v>
      </c>
      <c r="E112" s="2">
        <v>42</v>
      </c>
      <c r="F112" s="2">
        <v>848</v>
      </c>
      <c r="G112" s="2">
        <v>22</v>
      </c>
      <c r="H112" s="2">
        <v>56</v>
      </c>
      <c r="I112" s="2">
        <v>16</v>
      </c>
      <c r="J112" s="2">
        <v>48</v>
      </c>
      <c r="K112" s="2">
        <v>131</v>
      </c>
      <c r="L112" s="2">
        <v>125</v>
      </c>
      <c r="M112" s="2">
        <v>2445</v>
      </c>
      <c r="N112" s="2">
        <v>129</v>
      </c>
      <c r="O112" s="2">
        <v>58</v>
      </c>
      <c r="P112" s="2">
        <v>48</v>
      </c>
      <c r="Q112" s="2">
        <v>26</v>
      </c>
      <c r="R112" s="2">
        <v>2</v>
      </c>
    </row>
    <row r="113" spans="2:18" ht="9.75" customHeight="1">
      <c r="B113" s="5" t="s">
        <v>40</v>
      </c>
      <c r="C113" s="2">
        <v>230</v>
      </c>
      <c r="D113" s="2">
        <v>3861</v>
      </c>
      <c r="E113" s="2">
        <v>147</v>
      </c>
      <c r="F113" s="2">
        <v>4107</v>
      </c>
      <c r="G113" s="2">
        <v>118</v>
      </c>
      <c r="H113" s="2">
        <v>136</v>
      </c>
      <c r="I113" s="2">
        <v>158</v>
      </c>
      <c r="J113" s="2">
        <v>180</v>
      </c>
      <c r="K113" s="2">
        <v>467</v>
      </c>
      <c r="L113" s="2">
        <v>353</v>
      </c>
      <c r="M113" s="2">
        <v>14599</v>
      </c>
      <c r="N113" s="2">
        <v>657</v>
      </c>
      <c r="O113" s="2">
        <v>181</v>
      </c>
      <c r="P113" s="2">
        <v>47</v>
      </c>
      <c r="Q113" s="2">
        <v>65</v>
      </c>
      <c r="R113" s="2">
        <v>4</v>
      </c>
    </row>
    <row r="114" spans="2:18" ht="9.75" customHeight="1">
      <c r="B114" s="5" t="s">
        <v>58</v>
      </c>
      <c r="C114" s="2">
        <v>273</v>
      </c>
      <c r="D114" s="2">
        <v>4426</v>
      </c>
      <c r="E114" s="2">
        <v>130</v>
      </c>
      <c r="F114" s="2">
        <v>4551</v>
      </c>
      <c r="G114" s="2">
        <v>127</v>
      </c>
      <c r="H114" s="2">
        <v>109</v>
      </c>
      <c r="I114" s="2">
        <v>121</v>
      </c>
      <c r="J114" s="2">
        <v>151</v>
      </c>
      <c r="K114" s="2">
        <v>399</v>
      </c>
      <c r="L114" s="2">
        <v>321</v>
      </c>
      <c r="M114" s="2">
        <v>11953</v>
      </c>
      <c r="N114" s="2">
        <v>702</v>
      </c>
      <c r="O114" s="2">
        <v>182</v>
      </c>
      <c r="P114" s="2">
        <v>32</v>
      </c>
      <c r="Q114" s="2">
        <v>51</v>
      </c>
      <c r="R114" s="2">
        <v>16</v>
      </c>
    </row>
    <row r="115" spans="2:18" ht="9.75" customHeight="1">
      <c r="B115" s="5" t="s">
        <v>63</v>
      </c>
      <c r="C115" s="2">
        <v>176</v>
      </c>
      <c r="D115" s="2">
        <v>2700</v>
      </c>
      <c r="E115" s="2">
        <v>81</v>
      </c>
      <c r="F115" s="2">
        <v>2655</v>
      </c>
      <c r="G115" s="2">
        <v>66</v>
      </c>
      <c r="H115" s="2">
        <v>79</v>
      </c>
      <c r="I115" s="2">
        <v>48</v>
      </c>
      <c r="J115" s="2">
        <v>101</v>
      </c>
      <c r="K115" s="2">
        <v>214</v>
      </c>
      <c r="L115" s="2">
        <v>217</v>
      </c>
      <c r="M115" s="2">
        <v>6675</v>
      </c>
      <c r="N115" s="2">
        <v>233</v>
      </c>
      <c r="O115" s="2">
        <v>110</v>
      </c>
      <c r="P115" s="2">
        <v>82</v>
      </c>
      <c r="Q115" s="2">
        <v>55</v>
      </c>
      <c r="R115" s="2">
        <v>7</v>
      </c>
    </row>
    <row r="116" spans="1:18" ht="9.75" customHeight="1">
      <c r="A116" s="3" t="s">
        <v>104</v>
      </c>
      <c r="C116" s="2">
        <v>1666</v>
      </c>
      <c r="D116" s="2">
        <v>22056</v>
      </c>
      <c r="E116" s="2">
        <v>692</v>
      </c>
      <c r="F116" s="2">
        <v>30624</v>
      </c>
      <c r="G116" s="2">
        <v>639</v>
      </c>
      <c r="H116" s="2">
        <v>834</v>
      </c>
      <c r="I116" s="2">
        <v>561</v>
      </c>
      <c r="J116" s="2">
        <v>1016</v>
      </c>
      <c r="K116" s="2">
        <v>2463</v>
      </c>
      <c r="L116" s="2">
        <v>2155</v>
      </c>
      <c r="M116" s="2">
        <v>80385</v>
      </c>
      <c r="N116" s="2">
        <v>3656</v>
      </c>
      <c r="O116" s="2">
        <v>994</v>
      </c>
      <c r="P116" s="2">
        <v>520</v>
      </c>
      <c r="Q116" s="2">
        <v>411</v>
      </c>
      <c r="R116" s="2">
        <v>72</v>
      </c>
    </row>
    <row r="117" spans="2:18" s="4" customFormat="1" ht="9.75" customHeight="1">
      <c r="B117" s="6" t="s">
        <v>105</v>
      </c>
      <c r="C117" s="4">
        <f aca="true" t="shared" si="13" ref="C117:J117">C116/58088</f>
        <v>0.02868062250378736</v>
      </c>
      <c r="D117" s="4">
        <f t="shared" si="13"/>
        <v>0.37969976587246934</v>
      </c>
      <c r="E117" s="4">
        <f t="shared" si="13"/>
        <v>0.011912959647431482</v>
      </c>
      <c r="F117" s="4">
        <f t="shared" si="13"/>
        <v>0.5272001101776614</v>
      </c>
      <c r="G117" s="4">
        <f t="shared" si="13"/>
        <v>0.011000550888307396</v>
      </c>
      <c r="H117" s="4">
        <f t="shared" si="13"/>
        <v>0.014357526511499793</v>
      </c>
      <c r="I117" s="4">
        <f t="shared" si="13"/>
        <v>0.009657760639030436</v>
      </c>
      <c r="J117" s="4">
        <f t="shared" si="13"/>
        <v>0.0174907037598127</v>
      </c>
      <c r="K117" s="4">
        <f>K116/88659</f>
        <v>0.02778059757046662</v>
      </c>
      <c r="L117" s="4">
        <f>L116/88659</f>
        <v>0.02430661297781387</v>
      </c>
      <c r="M117" s="4">
        <f>M116/88659</f>
        <v>0.9066761411701012</v>
      </c>
      <c r="N117" s="4">
        <f>N116/88659</f>
        <v>0.041236648281618334</v>
      </c>
      <c r="O117" s="4">
        <f>O116/994</f>
        <v>1</v>
      </c>
      <c r="P117" s="4">
        <f>P116/520</f>
        <v>1</v>
      </c>
      <c r="Q117" s="4">
        <f>Q116/411</f>
        <v>1</v>
      </c>
      <c r="R117" s="4">
        <f>R116/72</f>
        <v>1</v>
      </c>
    </row>
    <row r="118" spans="2:18" ht="4.5" customHeight="1"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9.75" customHeight="1">
      <c r="A119" s="3" t="s">
        <v>67</v>
      </c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ht="9.75" customHeight="1">
      <c r="B120" s="5" t="s">
        <v>56</v>
      </c>
      <c r="C120" s="2">
        <v>447</v>
      </c>
      <c r="D120" s="2">
        <v>6911</v>
      </c>
      <c r="E120" s="2">
        <v>211</v>
      </c>
      <c r="F120" s="2">
        <v>8319</v>
      </c>
      <c r="G120" s="2">
        <v>181</v>
      </c>
      <c r="H120" s="2">
        <v>285</v>
      </c>
      <c r="I120" s="2">
        <v>155</v>
      </c>
      <c r="J120" s="2">
        <v>262</v>
      </c>
      <c r="K120" s="2">
        <v>270</v>
      </c>
      <c r="L120" s="2">
        <v>346</v>
      </c>
      <c r="M120" s="2">
        <v>12325</v>
      </c>
      <c r="N120" s="2">
        <v>331</v>
      </c>
      <c r="O120" s="2">
        <v>203</v>
      </c>
      <c r="P120" s="2">
        <v>297</v>
      </c>
      <c r="Q120" s="2">
        <v>102</v>
      </c>
      <c r="R120" s="2">
        <v>19</v>
      </c>
    </row>
    <row r="121" spans="2:18" ht="9.75" customHeight="1">
      <c r="B121" s="5" t="s">
        <v>65</v>
      </c>
      <c r="C121" s="2">
        <v>617</v>
      </c>
      <c r="D121" s="2">
        <v>12136</v>
      </c>
      <c r="E121" s="2">
        <v>215</v>
      </c>
      <c r="F121" s="2">
        <v>10307</v>
      </c>
      <c r="G121" s="2">
        <v>254</v>
      </c>
      <c r="H121" s="2">
        <v>361</v>
      </c>
      <c r="I121" s="2">
        <v>140</v>
      </c>
      <c r="J121" s="2">
        <v>377</v>
      </c>
      <c r="K121" s="2">
        <v>1096</v>
      </c>
      <c r="L121" s="2">
        <v>851</v>
      </c>
      <c r="M121" s="2">
        <v>27018</v>
      </c>
      <c r="N121" s="2">
        <v>1052</v>
      </c>
      <c r="O121" s="2">
        <v>355</v>
      </c>
      <c r="P121" s="2">
        <v>624</v>
      </c>
      <c r="Q121" s="2">
        <v>262</v>
      </c>
      <c r="R121" s="2">
        <v>30</v>
      </c>
    </row>
    <row r="122" spans="2:18" ht="9.75" customHeight="1">
      <c r="B122" s="5" t="s">
        <v>66</v>
      </c>
      <c r="C122" s="2">
        <v>265</v>
      </c>
      <c r="D122" s="2">
        <v>3481</v>
      </c>
      <c r="E122" s="2">
        <v>109</v>
      </c>
      <c r="F122" s="2">
        <v>2697</v>
      </c>
      <c r="G122" s="2">
        <v>125</v>
      </c>
      <c r="H122" s="2">
        <v>112</v>
      </c>
      <c r="I122" s="2">
        <v>83</v>
      </c>
      <c r="J122" s="2">
        <v>143</v>
      </c>
      <c r="K122" s="2">
        <v>351</v>
      </c>
      <c r="L122" s="2">
        <v>279</v>
      </c>
      <c r="M122" s="2">
        <v>8287</v>
      </c>
      <c r="N122" s="2">
        <v>418</v>
      </c>
      <c r="O122" s="2">
        <v>103</v>
      </c>
      <c r="P122" s="2">
        <v>43</v>
      </c>
      <c r="Q122" s="2">
        <v>38</v>
      </c>
      <c r="R122" s="2">
        <v>9</v>
      </c>
    </row>
    <row r="123" spans="2:18" ht="9.75" customHeight="1">
      <c r="B123" s="5" t="s">
        <v>50</v>
      </c>
      <c r="C123" s="2">
        <v>333</v>
      </c>
      <c r="D123" s="2">
        <v>8201</v>
      </c>
      <c r="E123" s="2">
        <v>191</v>
      </c>
      <c r="F123" s="2">
        <v>9712</v>
      </c>
      <c r="G123" s="2">
        <v>162</v>
      </c>
      <c r="H123" s="2">
        <v>215</v>
      </c>
      <c r="I123" s="2">
        <v>115</v>
      </c>
      <c r="J123" s="2">
        <v>215</v>
      </c>
      <c r="K123" s="2">
        <v>555</v>
      </c>
      <c r="L123" s="2">
        <v>478</v>
      </c>
      <c r="M123" s="2">
        <v>17768</v>
      </c>
      <c r="N123" s="2">
        <v>497</v>
      </c>
      <c r="O123" s="2">
        <v>241</v>
      </c>
      <c r="P123" s="2">
        <v>157</v>
      </c>
      <c r="Q123" s="2">
        <v>172</v>
      </c>
      <c r="R123" s="2">
        <v>14</v>
      </c>
    </row>
    <row r="124" spans="2:18" ht="9.75" customHeight="1">
      <c r="B124" s="5" t="s">
        <v>52</v>
      </c>
      <c r="C124" s="2">
        <v>549</v>
      </c>
      <c r="D124" s="2">
        <v>5875</v>
      </c>
      <c r="E124" s="2">
        <v>151</v>
      </c>
      <c r="F124" s="2">
        <v>5799</v>
      </c>
      <c r="G124" s="2">
        <v>97</v>
      </c>
      <c r="H124" s="2">
        <v>264</v>
      </c>
      <c r="I124" s="2">
        <v>107</v>
      </c>
      <c r="J124" s="2">
        <v>272</v>
      </c>
      <c r="K124" s="2">
        <v>238</v>
      </c>
      <c r="L124" s="2">
        <v>212</v>
      </c>
      <c r="M124" s="2">
        <v>6267</v>
      </c>
      <c r="N124" s="2">
        <v>234</v>
      </c>
      <c r="O124" s="2">
        <v>138</v>
      </c>
      <c r="P124" s="2">
        <v>247</v>
      </c>
      <c r="Q124" s="2">
        <v>100</v>
      </c>
      <c r="R124" s="2">
        <v>22</v>
      </c>
    </row>
    <row r="125" spans="1:18" ht="9.75" customHeight="1">
      <c r="A125" s="3" t="s">
        <v>104</v>
      </c>
      <c r="C125" s="2">
        <v>2211</v>
      </c>
      <c r="D125" s="2">
        <v>36604</v>
      </c>
      <c r="E125" s="2">
        <v>877</v>
      </c>
      <c r="F125" s="2">
        <v>36834</v>
      </c>
      <c r="G125" s="2">
        <v>819</v>
      </c>
      <c r="H125" s="2">
        <v>1237</v>
      </c>
      <c r="I125" s="2">
        <v>600</v>
      </c>
      <c r="J125" s="2">
        <v>1269</v>
      </c>
      <c r="K125" s="2">
        <v>2510</v>
      </c>
      <c r="L125" s="2">
        <v>2166</v>
      </c>
      <c r="M125" s="2">
        <v>71665</v>
      </c>
      <c r="N125" s="2">
        <v>2532</v>
      </c>
      <c r="O125" s="2">
        <v>1040</v>
      </c>
      <c r="P125" s="2">
        <v>1368</v>
      </c>
      <c r="Q125" s="2">
        <v>674</v>
      </c>
      <c r="R125" s="2">
        <v>94</v>
      </c>
    </row>
    <row r="126" spans="2:18" s="4" customFormat="1" ht="9.75" customHeight="1">
      <c r="B126" s="6" t="s">
        <v>105</v>
      </c>
      <c r="C126" s="4">
        <f aca="true" t="shared" si="14" ref="C126:J126">C125/80451</f>
        <v>0.027482567028377522</v>
      </c>
      <c r="D126" s="4">
        <f t="shared" si="14"/>
        <v>0.4549850219388199</v>
      </c>
      <c r="E126" s="4">
        <f t="shared" si="14"/>
        <v>0.010901045356801035</v>
      </c>
      <c r="F126" s="4">
        <f t="shared" si="14"/>
        <v>0.4578439049856434</v>
      </c>
      <c r="G126" s="4">
        <f t="shared" si="14"/>
        <v>0.010180109631949883</v>
      </c>
      <c r="H126" s="4">
        <f t="shared" si="14"/>
        <v>0.01537581882139439</v>
      </c>
      <c r="I126" s="4">
        <f t="shared" si="14"/>
        <v>0.007457955774322258</v>
      </c>
      <c r="J126" s="4">
        <f t="shared" si="14"/>
        <v>0.015773576462691577</v>
      </c>
      <c r="K126" s="4">
        <f>K125/78873</f>
        <v>0.03182331089219378</v>
      </c>
      <c r="L126" s="4">
        <f>L125/78873</f>
        <v>0.027461869080673995</v>
      </c>
      <c r="M126" s="4">
        <f>M125/78873</f>
        <v>0.9086125797167599</v>
      </c>
      <c r="N126" s="4">
        <f>N125/78873</f>
        <v>0.03210224031037237</v>
      </c>
      <c r="O126" s="4">
        <f>O125/1040</f>
        <v>1</v>
      </c>
      <c r="P126" s="4">
        <f>P125/1368</f>
        <v>1</v>
      </c>
      <c r="Q126" s="4">
        <f>Q125/674</f>
        <v>1</v>
      </c>
      <c r="R126" s="4">
        <f>R125/94</f>
        <v>1</v>
      </c>
    </row>
    <row r="127" spans="2:18" ht="4.5" customHeight="1"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9.75" customHeight="1">
      <c r="A128" s="3" t="s">
        <v>71</v>
      </c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ht="9.75" customHeight="1">
      <c r="B129" s="5" t="s">
        <v>61</v>
      </c>
      <c r="C129" s="2">
        <v>576</v>
      </c>
      <c r="D129" s="2">
        <v>4880</v>
      </c>
      <c r="E129" s="2">
        <v>127</v>
      </c>
      <c r="F129" s="2">
        <v>9185</v>
      </c>
      <c r="G129" s="2">
        <v>258</v>
      </c>
      <c r="H129" s="2">
        <v>255</v>
      </c>
      <c r="I129" s="2">
        <v>116</v>
      </c>
      <c r="J129" s="2">
        <v>233</v>
      </c>
      <c r="K129" s="2">
        <v>318</v>
      </c>
      <c r="L129" s="2">
        <v>349</v>
      </c>
      <c r="M129" s="2">
        <v>7455</v>
      </c>
      <c r="N129" s="2">
        <v>542</v>
      </c>
      <c r="O129" s="2">
        <v>141</v>
      </c>
      <c r="P129" s="2">
        <v>81</v>
      </c>
      <c r="Q129" s="2">
        <v>39</v>
      </c>
      <c r="R129" s="2">
        <v>20</v>
      </c>
    </row>
    <row r="130" spans="2:18" ht="9.75" customHeight="1">
      <c r="B130" s="5" t="s">
        <v>68</v>
      </c>
      <c r="C130" s="2">
        <v>335</v>
      </c>
      <c r="D130" s="2">
        <v>2655</v>
      </c>
      <c r="E130" s="2">
        <v>96</v>
      </c>
      <c r="F130" s="2">
        <v>4384</v>
      </c>
      <c r="G130" s="2">
        <v>237</v>
      </c>
      <c r="H130" s="2">
        <v>251</v>
      </c>
      <c r="I130" s="2">
        <v>95</v>
      </c>
      <c r="J130" s="2">
        <v>280</v>
      </c>
      <c r="K130" s="2">
        <v>190</v>
      </c>
      <c r="L130" s="2">
        <v>149</v>
      </c>
      <c r="M130" s="2">
        <v>3953</v>
      </c>
      <c r="N130" s="2">
        <v>355</v>
      </c>
      <c r="O130" s="2">
        <v>74</v>
      </c>
      <c r="P130" s="2">
        <v>9</v>
      </c>
      <c r="Q130" s="2">
        <v>13</v>
      </c>
      <c r="R130" s="2">
        <v>6</v>
      </c>
    </row>
    <row r="131" spans="2:18" ht="9.75" customHeight="1">
      <c r="B131" s="5" t="s">
        <v>69</v>
      </c>
      <c r="C131" s="2">
        <v>207</v>
      </c>
      <c r="D131" s="2">
        <v>1614</v>
      </c>
      <c r="E131" s="2">
        <v>72</v>
      </c>
      <c r="F131" s="2">
        <v>3159</v>
      </c>
      <c r="G131" s="2">
        <v>108</v>
      </c>
      <c r="H131" s="2">
        <v>163</v>
      </c>
      <c r="I131" s="2">
        <v>51</v>
      </c>
      <c r="J131" s="2">
        <v>150</v>
      </c>
      <c r="K131" s="2">
        <v>260</v>
      </c>
      <c r="L131" s="2">
        <v>236</v>
      </c>
      <c r="M131" s="2">
        <v>6472</v>
      </c>
      <c r="N131" s="2">
        <v>494</v>
      </c>
      <c r="O131" s="2">
        <v>89</v>
      </c>
      <c r="P131" s="2">
        <v>16</v>
      </c>
      <c r="Q131" s="2">
        <v>19</v>
      </c>
      <c r="R131" s="2">
        <v>0</v>
      </c>
    </row>
    <row r="132" spans="2:18" ht="9.75" customHeight="1">
      <c r="B132" s="5" t="s">
        <v>70</v>
      </c>
      <c r="C132" s="2">
        <v>103</v>
      </c>
      <c r="D132" s="2">
        <v>839</v>
      </c>
      <c r="E132" s="2">
        <v>32</v>
      </c>
      <c r="F132" s="2">
        <v>1722</v>
      </c>
      <c r="G132" s="2">
        <v>78</v>
      </c>
      <c r="H132" s="2">
        <v>56</v>
      </c>
      <c r="I132" s="2">
        <v>54</v>
      </c>
      <c r="J132" s="2">
        <v>83</v>
      </c>
      <c r="K132" s="2">
        <v>79</v>
      </c>
      <c r="L132" s="2">
        <v>86</v>
      </c>
      <c r="M132" s="2">
        <v>2688</v>
      </c>
      <c r="N132" s="2">
        <v>163</v>
      </c>
      <c r="O132" s="2">
        <v>43</v>
      </c>
      <c r="P132" s="2">
        <v>7</v>
      </c>
      <c r="Q132" s="2">
        <v>9</v>
      </c>
      <c r="R132" s="2">
        <v>4</v>
      </c>
    </row>
    <row r="133" spans="1:18" ht="9.75" customHeight="1">
      <c r="A133" s="3" t="s">
        <v>104</v>
      </c>
      <c r="C133" s="2">
        <v>1221</v>
      </c>
      <c r="D133" s="2">
        <v>9988</v>
      </c>
      <c r="E133" s="2">
        <v>327</v>
      </c>
      <c r="F133" s="2">
        <v>18450</v>
      </c>
      <c r="G133" s="2">
        <v>681</v>
      </c>
      <c r="H133" s="2">
        <v>725</v>
      </c>
      <c r="I133" s="2">
        <v>316</v>
      </c>
      <c r="J133" s="2">
        <v>746</v>
      </c>
      <c r="K133" s="2">
        <v>847</v>
      </c>
      <c r="L133" s="2">
        <v>820</v>
      </c>
      <c r="M133" s="2">
        <v>20568</v>
      </c>
      <c r="N133" s="2">
        <v>1554</v>
      </c>
      <c r="O133" s="2">
        <v>347</v>
      </c>
      <c r="P133" s="2">
        <v>113</v>
      </c>
      <c r="Q133" s="2">
        <v>80</v>
      </c>
      <c r="R133" s="2">
        <v>30</v>
      </c>
    </row>
    <row r="134" spans="2:18" s="4" customFormat="1" ht="9.75" customHeight="1">
      <c r="B134" s="6" t="s">
        <v>105</v>
      </c>
      <c r="C134" s="4">
        <f aca="true" t="shared" si="15" ref="C134:J134">C133/32454</f>
        <v>0.03762248105010168</v>
      </c>
      <c r="D134" s="4">
        <f t="shared" si="15"/>
        <v>0.3077586738152462</v>
      </c>
      <c r="E134" s="4">
        <f t="shared" si="15"/>
        <v>0.010075799593270474</v>
      </c>
      <c r="F134" s="4">
        <f t="shared" si="15"/>
        <v>0.5684969495285636</v>
      </c>
      <c r="G134" s="4">
        <f t="shared" si="15"/>
        <v>0.020983545941948605</v>
      </c>
      <c r="H134" s="4">
        <f t="shared" si="15"/>
        <v>0.022339311024835152</v>
      </c>
      <c r="I134" s="4">
        <f t="shared" si="15"/>
        <v>0.009736858322548838</v>
      </c>
      <c r="J134" s="4">
        <f t="shared" si="15"/>
        <v>0.02298638072348555</v>
      </c>
      <c r="K134" s="4">
        <f>K133/23789</f>
        <v>0.0356046912438522</v>
      </c>
      <c r="L134" s="4">
        <f>L133/23789</f>
        <v>0.03446971289251335</v>
      </c>
      <c r="M134" s="4">
        <f>M133/23789</f>
        <v>0.8646012863087982</v>
      </c>
      <c r="N134" s="4">
        <f>N133/23789</f>
        <v>0.06532430955483627</v>
      </c>
      <c r="O134" s="4">
        <f>O133/347</f>
        <v>1</v>
      </c>
      <c r="P134" s="4">
        <f>P133/113</f>
        <v>1</v>
      </c>
      <c r="Q134" s="4">
        <f>Q133/80</f>
        <v>1</v>
      </c>
      <c r="R134" s="4">
        <f>R133/30</f>
        <v>1</v>
      </c>
    </row>
    <row r="135" spans="2:18" ht="4.5" customHeight="1"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9.75" customHeight="1">
      <c r="A136" s="3" t="s">
        <v>75</v>
      </c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ht="9.75" customHeight="1">
      <c r="B137" s="5" t="s">
        <v>68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1</v>
      </c>
      <c r="L137" s="2">
        <v>0</v>
      </c>
      <c r="M137" s="2">
        <v>1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</row>
    <row r="138" spans="2:18" ht="9.75" customHeight="1">
      <c r="B138" s="5" t="s">
        <v>72</v>
      </c>
      <c r="C138" s="2">
        <v>785</v>
      </c>
      <c r="D138" s="2">
        <v>12369</v>
      </c>
      <c r="E138" s="2">
        <v>414</v>
      </c>
      <c r="F138" s="2">
        <v>11893</v>
      </c>
      <c r="G138" s="2">
        <v>325</v>
      </c>
      <c r="H138" s="2">
        <v>450</v>
      </c>
      <c r="I138" s="2">
        <v>253</v>
      </c>
      <c r="J138" s="2">
        <v>625</v>
      </c>
      <c r="K138" s="2">
        <v>1348</v>
      </c>
      <c r="L138" s="2">
        <v>1053</v>
      </c>
      <c r="M138" s="2">
        <v>32936</v>
      </c>
      <c r="N138" s="2">
        <v>1154</v>
      </c>
      <c r="O138" s="2">
        <v>485</v>
      </c>
      <c r="P138" s="2">
        <v>153</v>
      </c>
      <c r="Q138" s="2">
        <v>265</v>
      </c>
      <c r="R138" s="2">
        <v>24</v>
      </c>
    </row>
    <row r="139" spans="2:18" ht="9.75" customHeight="1">
      <c r="B139" s="5" t="s">
        <v>73</v>
      </c>
      <c r="C139" s="2">
        <v>463</v>
      </c>
      <c r="D139" s="2">
        <v>4831</v>
      </c>
      <c r="E139" s="2">
        <v>271</v>
      </c>
      <c r="F139" s="2">
        <v>4486</v>
      </c>
      <c r="G139" s="2">
        <v>134</v>
      </c>
      <c r="H139" s="2">
        <v>196</v>
      </c>
      <c r="I139" s="2">
        <v>170</v>
      </c>
      <c r="J139" s="2">
        <v>264</v>
      </c>
      <c r="K139" s="2">
        <v>714</v>
      </c>
      <c r="L139" s="2">
        <v>573</v>
      </c>
      <c r="M139" s="2">
        <v>16179</v>
      </c>
      <c r="N139" s="2">
        <v>548</v>
      </c>
      <c r="O139" s="2">
        <v>300</v>
      </c>
      <c r="P139" s="2">
        <v>63</v>
      </c>
      <c r="Q139" s="2">
        <v>140</v>
      </c>
      <c r="R139" s="2">
        <v>17</v>
      </c>
    </row>
    <row r="140" spans="2:18" ht="9.75" customHeight="1">
      <c r="B140" s="5" t="s">
        <v>74</v>
      </c>
      <c r="C140" s="2">
        <v>125</v>
      </c>
      <c r="D140" s="2">
        <v>2147</v>
      </c>
      <c r="E140" s="2">
        <v>47</v>
      </c>
      <c r="F140" s="2">
        <v>1608</v>
      </c>
      <c r="G140" s="2">
        <v>91</v>
      </c>
      <c r="H140" s="2">
        <v>73</v>
      </c>
      <c r="I140" s="2">
        <v>34</v>
      </c>
      <c r="J140" s="2">
        <v>145</v>
      </c>
      <c r="K140" s="2">
        <v>97</v>
      </c>
      <c r="L140" s="2">
        <v>113</v>
      </c>
      <c r="M140" s="2">
        <v>2457</v>
      </c>
      <c r="N140" s="2">
        <v>156</v>
      </c>
      <c r="O140" s="2">
        <v>61</v>
      </c>
      <c r="P140" s="2">
        <v>41</v>
      </c>
      <c r="Q140" s="2">
        <v>30</v>
      </c>
      <c r="R140" s="2">
        <v>4</v>
      </c>
    </row>
    <row r="141" spans="1:18" ht="9.75" customHeight="1">
      <c r="A141" s="3" t="s">
        <v>104</v>
      </c>
      <c r="C141" s="2">
        <v>1373</v>
      </c>
      <c r="D141" s="2">
        <v>19347</v>
      </c>
      <c r="E141" s="2">
        <v>732</v>
      </c>
      <c r="F141" s="2">
        <v>17987</v>
      </c>
      <c r="G141" s="2">
        <v>550</v>
      </c>
      <c r="H141" s="2">
        <v>719</v>
      </c>
      <c r="I141" s="2">
        <v>457</v>
      </c>
      <c r="J141" s="2">
        <v>1034</v>
      </c>
      <c r="K141" s="2">
        <v>2160</v>
      </c>
      <c r="L141" s="2">
        <v>1739</v>
      </c>
      <c r="M141" s="2">
        <v>51573</v>
      </c>
      <c r="N141" s="2">
        <v>1858</v>
      </c>
      <c r="O141" s="2">
        <v>846</v>
      </c>
      <c r="P141" s="2">
        <v>257</v>
      </c>
      <c r="Q141" s="2">
        <v>435</v>
      </c>
      <c r="R141" s="2">
        <v>45</v>
      </c>
    </row>
    <row r="142" spans="2:18" s="4" customFormat="1" ht="9.75" customHeight="1">
      <c r="B142" s="6" t="s">
        <v>105</v>
      </c>
      <c r="C142" s="4">
        <f aca="true" t="shared" si="16" ref="C142:J142">C141/42199</f>
        <v>0.032536316026446126</v>
      </c>
      <c r="D142" s="4">
        <f t="shared" si="16"/>
        <v>0.4584705798715609</v>
      </c>
      <c r="E142" s="4">
        <f t="shared" si="16"/>
        <v>0.017346382615701796</v>
      </c>
      <c r="F142" s="4">
        <f t="shared" si="16"/>
        <v>0.4262423280172516</v>
      </c>
      <c r="G142" s="4">
        <f t="shared" si="16"/>
        <v>0.013033484205786866</v>
      </c>
      <c r="H142" s="4">
        <f t="shared" si="16"/>
        <v>0.017038318443565015</v>
      </c>
      <c r="I142" s="4">
        <f t="shared" si="16"/>
        <v>0.01082964051280836</v>
      </c>
      <c r="J142" s="4">
        <f t="shared" si="16"/>
        <v>0.02450295030687931</v>
      </c>
      <c r="K142" s="4">
        <f>K141/57330</f>
        <v>0.03767660910518053</v>
      </c>
      <c r="L142" s="4">
        <f>L141/57330</f>
        <v>0.030333158904587477</v>
      </c>
      <c r="M142" s="4">
        <f>M141/57330</f>
        <v>0.8995813710099424</v>
      </c>
      <c r="N142" s="4">
        <f>N141/57330</f>
        <v>0.03240886098028955</v>
      </c>
      <c r="O142" s="4">
        <f>O141/846</f>
        <v>1</v>
      </c>
      <c r="P142" s="4">
        <f>P141/257</f>
        <v>1</v>
      </c>
      <c r="Q142" s="4">
        <f>Q141/435</f>
        <v>1</v>
      </c>
      <c r="R142" s="4">
        <f>R141/45</f>
        <v>1</v>
      </c>
    </row>
    <row r="143" spans="2:18" ht="4.5" customHeight="1"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9.75" customHeight="1">
      <c r="A144" s="3" t="s">
        <v>77</v>
      </c>
      <c r="B144" s="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ht="9.75" customHeight="1">
      <c r="B145" s="5" t="s">
        <v>76</v>
      </c>
      <c r="C145" s="2">
        <v>73</v>
      </c>
      <c r="D145" s="2">
        <v>710</v>
      </c>
      <c r="E145" s="2">
        <v>33</v>
      </c>
      <c r="F145" s="2">
        <v>749</v>
      </c>
      <c r="G145" s="2">
        <v>19</v>
      </c>
      <c r="H145" s="2">
        <v>39</v>
      </c>
      <c r="I145" s="2">
        <v>39</v>
      </c>
      <c r="J145" s="2">
        <v>54</v>
      </c>
      <c r="K145" s="2">
        <v>174</v>
      </c>
      <c r="L145" s="2">
        <v>125</v>
      </c>
      <c r="M145" s="2">
        <v>2137</v>
      </c>
      <c r="N145" s="2">
        <v>147</v>
      </c>
      <c r="O145" s="2">
        <v>71</v>
      </c>
      <c r="P145" s="2">
        <v>37</v>
      </c>
      <c r="Q145" s="2">
        <v>27</v>
      </c>
      <c r="R145" s="2">
        <v>6</v>
      </c>
    </row>
    <row r="146" spans="2:18" ht="9.75" customHeight="1">
      <c r="B146" s="5" t="s">
        <v>68</v>
      </c>
      <c r="C146" s="2">
        <v>831</v>
      </c>
      <c r="D146" s="2">
        <v>8622</v>
      </c>
      <c r="E146" s="2">
        <v>440</v>
      </c>
      <c r="F146" s="2">
        <v>12946</v>
      </c>
      <c r="G146" s="2">
        <v>544</v>
      </c>
      <c r="H146" s="2">
        <v>406</v>
      </c>
      <c r="I146" s="2">
        <v>271</v>
      </c>
      <c r="J146" s="2">
        <v>681</v>
      </c>
      <c r="K146" s="2">
        <v>1787</v>
      </c>
      <c r="L146" s="2">
        <v>1546</v>
      </c>
      <c r="M146" s="2">
        <v>48756</v>
      </c>
      <c r="N146" s="2">
        <v>1903</v>
      </c>
      <c r="O146" s="2">
        <v>683</v>
      </c>
      <c r="P146" s="2">
        <v>168</v>
      </c>
      <c r="Q146" s="2">
        <v>279</v>
      </c>
      <c r="R146" s="2">
        <v>25</v>
      </c>
    </row>
    <row r="147" spans="2:18" ht="9.75" customHeight="1">
      <c r="B147" s="5" t="s">
        <v>73</v>
      </c>
      <c r="C147" s="2">
        <v>283</v>
      </c>
      <c r="D147" s="2">
        <v>2754</v>
      </c>
      <c r="E147" s="2">
        <v>111</v>
      </c>
      <c r="F147" s="2">
        <v>2425</v>
      </c>
      <c r="G147" s="2">
        <v>121</v>
      </c>
      <c r="H147" s="2">
        <v>119</v>
      </c>
      <c r="I147" s="2">
        <v>112</v>
      </c>
      <c r="J147" s="2">
        <v>174</v>
      </c>
      <c r="K147" s="2">
        <v>371</v>
      </c>
      <c r="L147" s="2">
        <v>210</v>
      </c>
      <c r="M147" s="2">
        <v>6518</v>
      </c>
      <c r="N147" s="2">
        <v>304</v>
      </c>
      <c r="O147" s="2">
        <v>219</v>
      </c>
      <c r="P147" s="2">
        <v>42</v>
      </c>
      <c r="Q147" s="2">
        <v>77</v>
      </c>
      <c r="R147" s="2">
        <v>10</v>
      </c>
    </row>
    <row r="148" spans="2:18" ht="9.75" customHeight="1">
      <c r="B148" s="5" t="s">
        <v>70</v>
      </c>
      <c r="C148" s="2">
        <v>353</v>
      </c>
      <c r="D148" s="2">
        <v>3861</v>
      </c>
      <c r="E148" s="2">
        <v>184</v>
      </c>
      <c r="F148" s="2">
        <v>6413</v>
      </c>
      <c r="G148" s="2">
        <v>235</v>
      </c>
      <c r="H148" s="2">
        <v>224</v>
      </c>
      <c r="I148" s="2">
        <v>237</v>
      </c>
      <c r="J148" s="2">
        <v>231</v>
      </c>
      <c r="K148" s="2">
        <v>583</v>
      </c>
      <c r="L148" s="2">
        <v>447</v>
      </c>
      <c r="M148" s="2">
        <v>18192</v>
      </c>
      <c r="N148" s="2">
        <v>855</v>
      </c>
      <c r="O148" s="2">
        <v>246</v>
      </c>
      <c r="P148" s="2">
        <v>117</v>
      </c>
      <c r="Q148" s="2">
        <v>71</v>
      </c>
      <c r="R148" s="2">
        <v>8</v>
      </c>
    </row>
    <row r="149" spans="1:18" ht="9.75" customHeight="1">
      <c r="A149" s="3" t="s">
        <v>104</v>
      </c>
      <c r="C149" s="2">
        <v>1540</v>
      </c>
      <c r="D149" s="2">
        <v>15947</v>
      </c>
      <c r="E149" s="2">
        <v>768</v>
      </c>
      <c r="F149" s="2">
        <v>22533</v>
      </c>
      <c r="G149" s="2">
        <v>919</v>
      </c>
      <c r="H149" s="2">
        <v>788</v>
      </c>
      <c r="I149" s="2">
        <v>659</v>
      </c>
      <c r="J149" s="2">
        <v>1140</v>
      </c>
      <c r="K149" s="2">
        <v>2915</v>
      </c>
      <c r="L149" s="2">
        <v>2328</v>
      </c>
      <c r="M149" s="2">
        <v>75603</v>
      </c>
      <c r="N149" s="2">
        <v>3209</v>
      </c>
      <c r="O149" s="2">
        <v>1219</v>
      </c>
      <c r="P149" s="2">
        <v>364</v>
      </c>
      <c r="Q149" s="2">
        <v>454</v>
      </c>
      <c r="R149" s="2">
        <v>49</v>
      </c>
    </row>
    <row r="150" spans="2:18" s="4" customFormat="1" ht="9.75" customHeight="1">
      <c r="B150" s="6" t="s">
        <v>105</v>
      </c>
      <c r="C150" s="4">
        <f aca="true" t="shared" si="17" ref="C150:J150">C149/44294</f>
        <v>0.03476768862599901</v>
      </c>
      <c r="D150" s="4">
        <f t="shared" si="17"/>
        <v>0.36002618864857544</v>
      </c>
      <c r="E150" s="4">
        <f t="shared" si="17"/>
        <v>0.017338691470628075</v>
      </c>
      <c r="F150" s="4">
        <f t="shared" si="17"/>
        <v>0.5087144985776855</v>
      </c>
      <c r="G150" s="4">
        <f t="shared" si="17"/>
        <v>0.020747731069670837</v>
      </c>
      <c r="H150" s="4">
        <f t="shared" si="17"/>
        <v>0.01779021989434235</v>
      </c>
      <c r="I150" s="4">
        <f t="shared" si="17"/>
        <v>0.01487786156138529</v>
      </c>
      <c r="J150" s="4">
        <f t="shared" si="17"/>
        <v>0.02573712015171355</v>
      </c>
      <c r="K150" s="4">
        <f>K149/84055</f>
        <v>0.034679674022961154</v>
      </c>
      <c r="L150" s="4">
        <f>L149/84055</f>
        <v>0.027696151329486645</v>
      </c>
      <c r="M150" s="4">
        <f>M149/84055</f>
        <v>0.8994467907917435</v>
      </c>
      <c r="N150" s="4">
        <f>N149/84055</f>
        <v>0.0381773838558087</v>
      </c>
      <c r="O150" s="4">
        <f>O149/1219</f>
        <v>1</v>
      </c>
      <c r="P150" s="4">
        <f>P149/364</f>
        <v>1</v>
      </c>
      <c r="Q150" s="4">
        <f>Q149/454</f>
        <v>1</v>
      </c>
      <c r="R150" s="4">
        <f>R149/49</f>
        <v>1</v>
      </c>
    </row>
    <row r="151" spans="2:18" ht="4.5" customHeight="1"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9.75" customHeight="1">
      <c r="A152" s="3" t="s">
        <v>78</v>
      </c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ht="9.75" customHeight="1">
      <c r="B153" s="5" t="s">
        <v>72</v>
      </c>
      <c r="C153" s="2">
        <v>26</v>
      </c>
      <c r="D153" s="2">
        <v>884</v>
      </c>
      <c r="E153" s="2">
        <v>13</v>
      </c>
      <c r="F153" s="2">
        <v>795</v>
      </c>
      <c r="G153" s="2">
        <v>12</v>
      </c>
      <c r="H153" s="2">
        <v>24</v>
      </c>
      <c r="I153" s="2">
        <v>13</v>
      </c>
      <c r="J153" s="2">
        <v>30</v>
      </c>
      <c r="K153" s="2">
        <v>69</v>
      </c>
      <c r="L153" s="2">
        <v>49</v>
      </c>
      <c r="M153" s="2">
        <v>2179</v>
      </c>
      <c r="N153" s="2">
        <v>70</v>
      </c>
      <c r="O153" s="2">
        <v>19</v>
      </c>
      <c r="P153" s="2">
        <v>9</v>
      </c>
      <c r="Q153" s="2">
        <v>11</v>
      </c>
      <c r="R153" s="2">
        <v>0</v>
      </c>
    </row>
    <row r="154" spans="2:18" ht="9.75" customHeight="1">
      <c r="B154" s="5" t="s">
        <v>66</v>
      </c>
      <c r="C154" s="2">
        <v>795</v>
      </c>
      <c r="D154" s="2">
        <v>14821</v>
      </c>
      <c r="E154" s="2">
        <v>294</v>
      </c>
      <c r="F154" s="2">
        <v>12312</v>
      </c>
      <c r="G154" s="2">
        <v>364</v>
      </c>
      <c r="H154" s="2">
        <v>488</v>
      </c>
      <c r="I154" s="2">
        <v>262</v>
      </c>
      <c r="J154" s="2">
        <v>551</v>
      </c>
      <c r="K154" s="2">
        <v>742</v>
      </c>
      <c r="L154" s="2">
        <v>749</v>
      </c>
      <c r="M154" s="2">
        <v>25089</v>
      </c>
      <c r="N154" s="2">
        <v>846</v>
      </c>
      <c r="O154" s="2">
        <v>306</v>
      </c>
      <c r="P154" s="2">
        <v>649</v>
      </c>
      <c r="Q154" s="2">
        <v>225</v>
      </c>
      <c r="R154" s="2">
        <v>36</v>
      </c>
    </row>
    <row r="155" spans="2:18" ht="9.75" customHeight="1">
      <c r="B155" s="5" t="s">
        <v>74</v>
      </c>
      <c r="C155" s="2">
        <v>750</v>
      </c>
      <c r="D155" s="2">
        <v>18850</v>
      </c>
      <c r="E155" s="2">
        <v>457</v>
      </c>
      <c r="F155" s="2">
        <v>15388</v>
      </c>
      <c r="G155" s="2">
        <v>361</v>
      </c>
      <c r="H155" s="2">
        <v>563</v>
      </c>
      <c r="I155" s="2">
        <v>292</v>
      </c>
      <c r="J155" s="2">
        <v>653</v>
      </c>
      <c r="K155" s="2">
        <v>1391</v>
      </c>
      <c r="L155" s="2">
        <v>1419</v>
      </c>
      <c r="M155" s="2">
        <v>43897</v>
      </c>
      <c r="N155" s="2">
        <v>1541</v>
      </c>
      <c r="O155" s="2">
        <v>487</v>
      </c>
      <c r="P155" s="2">
        <v>453</v>
      </c>
      <c r="Q155" s="2">
        <v>351</v>
      </c>
      <c r="R155" s="2">
        <v>46</v>
      </c>
    </row>
    <row r="156" spans="1:18" ht="9.75" customHeight="1">
      <c r="A156" s="3" t="s">
        <v>104</v>
      </c>
      <c r="C156" s="2">
        <v>1571</v>
      </c>
      <c r="D156" s="2">
        <v>34555</v>
      </c>
      <c r="E156" s="2">
        <v>764</v>
      </c>
      <c r="F156" s="2">
        <v>28495</v>
      </c>
      <c r="G156" s="2">
        <v>737</v>
      </c>
      <c r="H156" s="2">
        <v>1075</v>
      </c>
      <c r="I156" s="2">
        <v>567</v>
      </c>
      <c r="J156" s="2">
        <v>1234</v>
      </c>
      <c r="K156" s="2">
        <v>2202</v>
      </c>
      <c r="L156" s="2">
        <v>2217</v>
      </c>
      <c r="M156" s="2">
        <v>71165</v>
      </c>
      <c r="N156" s="2">
        <v>2457</v>
      </c>
      <c r="O156" s="2">
        <v>812</v>
      </c>
      <c r="P156" s="2">
        <v>1111</v>
      </c>
      <c r="Q156" s="2">
        <v>587</v>
      </c>
      <c r="R156" s="2">
        <v>82</v>
      </c>
    </row>
    <row r="157" spans="2:18" s="4" customFormat="1" ht="9.75" customHeight="1">
      <c r="B157" s="6" t="s">
        <v>105</v>
      </c>
      <c r="C157" s="4">
        <f aca="true" t="shared" si="18" ref="C157:J157">C156/68998</f>
        <v>0.022768775906548015</v>
      </c>
      <c r="D157" s="4">
        <f t="shared" si="18"/>
        <v>0.50081161772805</v>
      </c>
      <c r="E157" s="4">
        <f t="shared" si="18"/>
        <v>0.011072784718397635</v>
      </c>
      <c r="F157" s="4">
        <f t="shared" si="18"/>
        <v>0.4129829850140584</v>
      </c>
      <c r="G157" s="4">
        <f t="shared" si="18"/>
        <v>0.01068146902808777</v>
      </c>
      <c r="H157" s="4">
        <f t="shared" si="18"/>
        <v>0.015580161743818662</v>
      </c>
      <c r="I157" s="4">
        <f t="shared" si="18"/>
        <v>0.008217629496507145</v>
      </c>
      <c r="J157" s="4">
        <f t="shared" si="18"/>
        <v>0.017884576364532306</v>
      </c>
      <c r="K157" s="4">
        <f>K156/78041</f>
        <v>0.028215937776297075</v>
      </c>
      <c r="L157" s="4">
        <f>L156/78041</f>
        <v>0.028408144436898552</v>
      </c>
      <c r="M157" s="4">
        <f>M156/78041</f>
        <v>0.9118924667802821</v>
      </c>
      <c r="N157" s="4">
        <f>N156/78041</f>
        <v>0.031483451006522216</v>
      </c>
      <c r="O157" s="4">
        <f>O156/812</f>
        <v>1</v>
      </c>
      <c r="P157" s="4">
        <f>P156/1111</f>
        <v>1</v>
      </c>
      <c r="Q157" s="4">
        <f>Q156/587</f>
        <v>1</v>
      </c>
      <c r="R157" s="4">
        <f>R156/82</f>
        <v>1</v>
      </c>
    </row>
    <row r="158" spans="2:18" ht="4.5" customHeight="1"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9.75" customHeight="1">
      <c r="A159" s="3" t="s">
        <v>79</v>
      </c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ht="9.75" customHeight="1">
      <c r="B160" s="5" t="s">
        <v>72</v>
      </c>
      <c r="C160" s="2">
        <v>1358</v>
      </c>
      <c r="D160" s="2">
        <v>17740</v>
      </c>
      <c r="E160" s="2">
        <v>426</v>
      </c>
      <c r="F160" s="2">
        <v>20909</v>
      </c>
      <c r="G160" s="2">
        <v>840</v>
      </c>
      <c r="H160" s="2">
        <v>577</v>
      </c>
      <c r="I160" s="2">
        <v>439</v>
      </c>
      <c r="J160" s="2">
        <v>854</v>
      </c>
      <c r="K160" s="2">
        <v>706</v>
      </c>
      <c r="L160" s="2">
        <v>747</v>
      </c>
      <c r="M160" s="2">
        <v>13003</v>
      </c>
      <c r="N160" s="2">
        <v>647</v>
      </c>
      <c r="O160" s="2">
        <v>394</v>
      </c>
      <c r="P160" s="2">
        <v>219</v>
      </c>
      <c r="Q160" s="2">
        <v>178</v>
      </c>
      <c r="R160" s="2">
        <v>57</v>
      </c>
    </row>
    <row r="161" spans="1:18" ht="9.75" customHeight="1">
      <c r="A161" s="3" t="s">
        <v>104</v>
      </c>
      <c r="C161" s="2">
        <v>1358</v>
      </c>
      <c r="D161" s="2">
        <v>17740</v>
      </c>
      <c r="E161" s="2">
        <v>426</v>
      </c>
      <c r="F161" s="2">
        <v>20909</v>
      </c>
      <c r="G161" s="2">
        <v>840</v>
      </c>
      <c r="H161" s="2">
        <v>577</v>
      </c>
      <c r="I161" s="2">
        <v>439</v>
      </c>
      <c r="J161" s="2">
        <v>854</v>
      </c>
      <c r="K161" s="2">
        <v>706</v>
      </c>
      <c r="L161" s="2">
        <v>747</v>
      </c>
      <c r="M161" s="2">
        <v>13003</v>
      </c>
      <c r="N161" s="2">
        <v>647</v>
      </c>
      <c r="O161" s="2">
        <v>394</v>
      </c>
      <c r="P161" s="2">
        <v>219</v>
      </c>
      <c r="Q161" s="2">
        <v>178</v>
      </c>
      <c r="R161" s="2">
        <v>57</v>
      </c>
    </row>
    <row r="162" spans="2:18" s="4" customFormat="1" ht="9.75" customHeight="1">
      <c r="B162" s="6" t="s">
        <v>105</v>
      </c>
      <c r="C162" s="4">
        <f aca="true" t="shared" si="19" ref="C162:J162">C161/43143</f>
        <v>0.03147671696451336</v>
      </c>
      <c r="D162" s="4">
        <f t="shared" si="19"/>
        <v>0.41119069142155157</v>
      </c>
      <c r="E162" s="4">
        <f t="shared" si="19"/>
        <v>0.009874139489604339</v>
      </c>
      <c r="F162" s="4">
        <f t="shared" si="19"/>
        <v>0.48464409058248153</v>
      </c>
      <c r="G162" s="4">
        <f t="shared" si="19"/>
        <v>0.019470134204853627</v>
      </c>
      <c r="H162" s="4">
        <f t="shared" si="19"/>
        <v>0.01337412790023874</v>
      </c>
      <c r="I162" s="4">
        <f t="shared" si="19"/>
        <v>0.010175462995155645</v>
      </c>
      <c r="J162" s="4">
        <f t="shared" si="19"/>
        <v>0.019794636441601187</v>
      </c>
      <c r="K162" s="4">
        <f>K161/15103</f>
        <v>0.046745679666291465</v>
      </c>
      <c r="L162" s="4">
        <f>L161/15103</f>
        <v>0.049460372111501026</v>
      </c>
      <c r="M162" s="4">
        <f>M161/15103</f>
        <v>0.8609547771965834</v>
      </c>
      <c r="N162" s="4">
        <f>N161/15103</f>
        <v>0.04283917102562405</v>
      </c>
      <c r="O162" s="4">
        <f>O161/394</f>
        <v>1</v>
      </c>
      <c r="P162" s="4">
        <f>P161/219</f>
        <v>1</v>
      </c>
      <c r="Q162" s="4">
        <f>Q161/178</f>
        <v>1</v>
      </c>
      <c r="R162" s="4">
        <f>R161/57</f>
        <v>1</v>
      </c>
    </row>
    <row r="163" spans="2:18" ht="4.5" customHeight="1"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9.75" customHeight="1">
      <c r="A164" s="3" t="s">
        <v>80</v>
      </c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ht="9.75" customHeight="1">
      <c r="B165" s="5" t="s">
        <v>72</v>
      </c>
      <c r="C165" s="2">
        <v>1411</v>
      </c>
      <c r="D165" s="2">
        <v>33203</v>
      </c>
      <c r="E165" s="2">
        <v>633</v>
      </c>
      <c r="F165" s="2">
        <v>27440</v>
      </c>
      <c r="G165" s="2">
        <v>727</v>
      </c>
      <c r="H165" s="2">
        <v>730</v>
      </c>
      <c r="I165" s="2">
        <v>587</v>
      </c>
      <c r="J165" s="2">
        <v>878</v>
      </c>
      <c r="K165" s="2">
        <v>1252</v>
      </c>
      <c r="L165" s="2">
        <v>1158</v>
      </c>
      <c r="M165" s="2">
        <v>31899</v>
      </c>
      <c r="N165" s="2">
        <v>1205</v>
      </c>
      <c r="O165" s="2">
        <v>454</v>
      </c>
      <c r="P165" s="2">
        <v>652</v>
      </c>
      <c r="Q165" s="2">
        <v>362</v>
      </c>
      <c r="R165" s="2">
        <v>107</v>
      </c>
    </row>
    <row r="166" spans="1:18" ht="9.75" customHeight="1">
      <c r="A166" s="3" t="s">
        <v>104</v>
      </c>
      <c r="C166" s="2">
        <v>1411</v>
      </c>
      <c r="D166" s="2">
        <v>33203</v>
      </c>
      <c r="E166" s="2">
        <v>633</v>
      </c>
      <c r="F166" s="2">
        <v>27440</v>
      </c>
      <c r="G166" s="2">
        <v>727</v>
      </c>
      <c r="H166" s="2">
        <v>730</v>
      </c>
      <c r="I166" s="2">
        <v>587</v>
      </c>
      <c r="J166" s="2">
        <v>878</v>
      </c>
      <c r="K166" s="2">
        <v>1252</v>
      </c>
      <c r="L166" s="2">
        <v>1158</v>
      </c>
      <c r="M166" s="2">
        <v>31899</v>
      </c>
      <c r="N166" s="2">
        <v>1205</v>
      </c>
      <c r="O166" s="2">
        <v>454</v>
      </c>
      <c r="P166" s="2">
        <v>652</v>
      </c>
      <c r="Q166" s="2">
        <v>362</v>
      </c>
      <c r="R166" s="2">
        <v>107</v>
      </c>
    </row>
    <row r="167" spans="2:18" s="4" customFormat="1" ht="9.75" customHeight="1">
      <c r="B167" s="6" t="s">
        <v>105</v>
      </c>
      <c r="C167" s="4">
        <f aca="true" t="shared" si="20" ref="C167:J167">C166/65609</f>
        <v>0.021506195796308435</v>
      </c>
      <c r="D167" s="4">
        <f t="shared" si="20"/>
        <v>0.5060738618177384</v>
      </c>
      <c r="E167" s="4">
        <f t="shared" si="20"/>
        <v>0.00964806657623192</v>
      </c>
      <c r="F167" s="4">
        <f t="shared" si="20"/>
        <v>0.41823530308341844</v>
      </c>
      <c r="G167" s="4">
        <f t="shared" si="20"/>
        <v>0.011080796841896692</v>
      </c>
      <c r="H167" s="4">
        <f t="shared" si="20"/>
        <v>0.011126522275907269</v>
      </c>
      <c r="I167" s="4">
        <f t="shared" si="20"/>
        <v>0.008946943254736392</v>
      </c>
      <c r="J167" s="4">
        <f t="shared" si="20"/>
        <v>0.013382310353762441</v>
      </c>
      <c r="K167" s="4">
        <f>K166/35514</f>
        <v>0.03525370276510672</v>
      </c>
      <c r="L167" s="4">
        <f>L166/35514</f>
        <v>0.03260685926676803</v>
      </c>
      <c r="M167" s="4">
        <f>M166/35514</f>
        <v>0.8982091569521878</v>
      </c>
      <c r="N167" s="4">
        <f>N166/35514</f>
        <v>0.033930281015937376</v>
      </c>
      <c r="O167" s="4">
        <f>O166/454</f>
        <v>1</v>
      </c>
      <c r="P167" s="4">
        <f>P166/652</f>
        <v>1</v>
      </c>
      <c r="Q167" s="4">
        <f>Q166/362</f>
        <v>1</v>
      </c>
      <c r="R167" s="4">
        <f>R166/107</f>
        <v>1</v>
      </c>
    </row>
    <row r="168" spans="2:18" ht="4.5" customHeight="1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9.75" customHeight="1">
      <c r="A169" s="3" t="s">
        <v>81</v>
      </c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ht="9.75" customHeight="1">
      <c r="B170" s="5" t="s">
        <v>72</v>
      </c>
      <c r="C170" s="2">
        <v>1050</v>
      </c>
      <c r="D170" s="2">
        <v>15445</v>
      </c>
      <c r="E170" s="2">
        <v>248</v>
      </c>
      <c r="F170" s="2">
        <v>16880</v>
      </c>
      <c r="G170" s="2">
        <v>592</v>
      </c>
      <c r="H170" s="2">
        <v>621</v>
      </c>
      <c r="I170" s="2">
        <v>342</v>
      </c>
      <c r="J170" s="2">
        <v>722</v>
      </c>
      <c r="K170" s="2">
        <v>525</v>
      </c>
      <c r="L170" s="2">
        <v>440</v>
      </c>
      <c r="M170" s="2">
        <v>6719</v>
      </c>
      <c r="N170" s="2">
        <v>599</v>
      </c>
      <c r="O170" s="2">
        <v>250</v>
      </c>
      <c r="P170" s="2">
        <v>280</v>
      </c>
      <c r="Q170" s="2">
        <v>97</v>
      </c>
      <c r="R170" s="2">
        <v>88</v>
      </c>
    </row>
    <row r="171" spans="1:18" ht="9.75" customHeight="1">
      <c r="A171" s="3" t="s">
        <v>104</v>
      </c>
      <c r="C171" s="2">
        <v>1050</v>
      </c>
      <c r="D171" s="2">
        <v>15445</v>
      </c>
      <c r="E171" s="2">
        <v>248</v>
      </c>
      <c r="F171" s="2">
        <v>16880</v>
      </c>
      <c r="G171" s="2">
        <v>592</v>
      </c>
      <c r="H171" s="2">
        <v>621</v>
      </c>
      <c r="I171" s="2">
        <v>342</v>
      </c>
      <c r="J171" s="2">
        <v>722</v>
      </c>
      <c r="K171" s="2">
        <v>525</v>
      </c>
      <c r="L171" s="2">
        <v>440</v>
      </c>
      <c r="M171" s="2">
        <v>6719</v>
      </c>
      <c r="N171" s="2">
        <v>599</v>
      </c>
      <c r="O171" s="2">
        <v>250</v>
      </c>
      <c r="P171" s="2">
        <v>280</v>
      </c>
      <c r="Q171" s="2">
        <v>97</v>
      </c>
      <c r="R171" s="2">
        <v>88</v>
      </c>
    </row>
    <row r="172" spans="2:18" s="4" customFormat="1" ht="9.75" customHeight="1">
      <c r="B172" s="6" t="s">
        <v>105</v>
      </c>
      <c r="C172" s="4">
        <f aca="true" t="shared" si="21" ref="C172:J172">C171/35900</f>
        <v>0.02924791086350975</v>
      </c>
      <c r="D172" s="4">
        <f t="shared" si="21"/>
        <v>0.43022284122562676</v>
      </c>
      <c r="E172" s="4">
        <f t="shared" si="21"/>
        <v>0.006908077994428969</v>
      </c>
      <c r="F172" s="4">
        <f t="shared" si="21"/>
        <v>0.4701949860724234</v>
      </c>
      <c r="G172" s="4">
        <f t="shared" si="21"/>
        <v>0.01649025069637883</v>
      </c>
      <c r="H172" s="4">
        <f t="shared" si="21"/>
        <v>0.017298050139275767</v>
      </c>
      <c r="I172" s="4">
        <f t="shared" si="21"/>
        <v>0.009526462395543176</v>
      </c>
      <c r="J172" s="4">
        <f t="shared" si="21"/>
        <v>0.02011142061281337</v>
      </c>
      <c r="K172" s="4">
        <f>K171/8283</f>
        <v>0.0633828323071351</v>
      </c>
      <c r="L172" s="4">
        <f>L171/8283</f>
        <v>0.05312084993359894</v>
      </c>
      <c r="M172" s="4">
        <f>M171/8283</f>
        <v>0.8111795243269346</v>
      </c>
      <c r="N172" s="4">
        <f>N171/8283</f>
        <v>0.07231679343233129</v>
      </c>
      <c r="O172" s="4">
        <f>O171/250</f>
        <v>1</v>
      </c>
      <c r="P172" s="4">
        <f>P171/280</f>
        <v>1</v>
      </c>
      <c r="Q172" s="4">
        <f>Q171/97</f>
        <v>1</v>
      </c>
      <c r="R172" s="4">
        <f>R171/88</f>
        <v>1</v>
      </c>
    </row>
    <row r="173" spans="2:18" ht="4.5" customHeight="1"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9.75" customHeight="1">
      <c r="A174" s="3" t="s">
        <v>82</v>
      </c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ht="9.75" customHeight="1">
      <c r="B175" s="5" t="s">
        <v>72</v>
      </c>
      <c r="C175" s="2">
        <v>862</v>
      </c>
      <c r="D175" s="2">
        <v>35936</v>
      </c>
      <c r="E175" s="2">
        <v>419</v>
      </c>
      <c r="F175" s="2">
        <v>26322</v>
      </c>
      <c r="G175" s="2">
        <v>494</v>
      </c>
      <c r="H175" s="2">
        <v>636</v>
      </c>
      <c r="I175" s="2">
        <v>465</v>
      </c>
      <c r="J175" s="2">
        <v>627</v>
      </c>
      <c r="K175" s="2">
        <v>905</v>
      </c>
      <c r="L175" s="2">
        <v>701</v>
      </c>
      <c r="M175" s="2">
        <v>25024</v>
      </c>
      <c r="N175" s="2">
        <v>669</v>
      </c>
      <c r="O175" s="2">
        <v>354</v>
      </c>
      <c r="P175" s="2">
        <v>479</v>
      </c>
      <c r="Q175" s="2">
        <v>289</v>
      </c>
      <c r="R175" s="2">
        <v>66</v>
      </c>
    </row>
    <row r="176" spans="2:18" ht="9.75" customHeight="1">
      <c r="B176" s="5" t="s">
        <v>74</v>
      </c>
      <c r="C176" s="2">
        <v>347</v>
      </c>
      <c r="D176" s="2">
        <v>5057</v>
      </c>
      <c r="E176" s="2">
        <v>125</v>
      </c>
      <c r="F176" s="2">
        <v>4229</v>
      </c>
      <c r="G176" s="2">
        <v>184</v>
      </c>
      <c r="H176" s="2">
        <v>161</v>
      </c>
      <c r="I176" s="2">
        <v>99</v>
      </c>
      <c r="J176" s="2">
        <v>176</v>
      </c>
      <c r="K176" s="2">
        <v>248</v>
      </c>
      <c r="L176" s="2">
        <v>235</v>
      </c>
      <c r="M176" s="2">
        <v>4916</v>
      </c>
      <c r="N176" s="2">
        <v>277</v>
      </c>
      <c r="O176" s="2">
        <v>116</v>
      </c>
      <c r="P176" s="2">
        <v>69</v>
      </c>
      <c r="Q176" s="2">
        <v>48</v>
      </c>
      <c r="R176" s="2">
        <v>21</v>
      </c>
    </row>
    <row r="177" spans="1:18" ht="9.75" customHeight="1">
      <c r="A177" s="3" t="s">
        <v>104</v>
      </c>
      <c r="C177" s="2">
        <v>1209</v>
      </c>
      <c r="D177" s="2">
        <v>40993</v>
      </c>
      <c r="E177" s="2">
        <v>544</v>
      </c>
      <c r="F177" s="2">
        <v>30551</v>
      </c>
      <c r="G177" s="2">
        <v>678</v>
      </c>
      <c r="H177" s="2">
        <v>797</v>
      </c>
      <c r="I177" s="2">
        <v>564</v>
      </c>
      <c r="J177" s="2">
        <v>803</v>
      </c>
      <c r="K177" s="2">
        <v>1153</v>
      </c>
      <c r="L177" s="2">
        <v>936</v>
      </c>
      <c r="M177" s="2">
        <v>29940</v>
      </c>
      <c r="N177" s="2">
        <v>946</v>
      </c>
      <c r="O177" s="2">
        <v>470</v>
      </c>
      <c r="P177" s="2">
        <v>548</v>
      </c>
      <c r="Q177" s="2">
        <v>337</v>
      </c>
      <c r="R177" s="2">
        <v>87</v>
      </c>
    </row>
    <row r="178" spans="2:18" s="4" customFormat="1" ht="9.75" customHeight="1">
      <c r="B178" s="6" t="s">
        <v>105</v>
      </c>
      <c r="C178" s="4">
        <f aca="true" t="shared" si="22" ref="C178:J178">C177/76139</f>
        <v>0.015878853150159578</v>
      </c>
      <c r="D178" s="4">
        <f t="shared" si="22"/>
        <v>0.5383968793916389</v>
      </c>
      <c r="E178" s="4">
        <f t="shared" si="22"/>
        <v>0.007144827223893143</v>
      </c>
      <c r="F178" s="4">
        <f t="shared" si="22"/>
        <v>0.40125297153889594</v>
      </c>
      <c r="G178" s="4">
        <f t="shared" si="22"/>
        <v>0.008904766282719762</v>
      </c>
      <c r="H178" s="4">
        <f t="shared" si="22"/>
        <v>0.010467697237946388</v>
      </c>
      <c r="I178" s="4">
        <f t="shared" si="22"/>
        <v>0.007407504695359802</v>
      </c>
      <c r="J178" s="4">
        <f t="shared" si="22"/>
        <v>0.010546500479386385</v>
      </c>
      <c r="K178" s="4">
        <f>K177/32975</f>
        <v>0.034965883244882486</v>
      </c>
      <c r="L178" s="4">
        <f>L177/32975</f>
        <v>0.02838514025777104</v>
      </c>
      <c r="M178" s="4">
        <f>M177/32975</f>
        <v>0.9079605761940864</v>
      </c>
      <c r="N178" s="4">
        <f>N177/32975</f>
        <v>0.028688400303260045</v>
      </c>
      <c r="O178" s="4">
        <f>O177/470</f>
        <v>1</v>
      </c>
      <c r="P178" s="4">
        <f>P177/548</f>
        <v>1</v>
      </c>
      <c r="Q178" s="4">
        <f>Q177/337</f>
        <v>1</v>
      </c>
      <c r="R178" s="4">
        <f>R177/87</f>
        <v>1</v>
      </c>
    </row>
    <row r="179" spans="2:18" ht="4.5" customHeight="1"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9.75" customHeight="1">
      <c r="A180" s="3" t="s">
        <v>83</v>
      </c>
      <c r="B180" s="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ht="9.75" customHeight="1">
      <c r="B181" s="5" t="s">
        <v>72</v>
      </c>
      <c r="C181" s="2">
        <v>1326</v>
      </c>
      <c r="D181" s="2">
        <v>21104</v>
      </c>
      <c r="E181" s="2">
        <v>446</v>
      </c>
      <c r="F181" s="2">
        <v>18631</v>
      </c>
      <c r="G181" s="2">
        <v>802</v>
      </c>
      <c r="H181" s="2">
        <v>627</v>
      </c>
      <c r="I181" s="2">
        <v>541</v>
      </c>
      <c r="J181" s="2">
        <v>848</v>
      </c>
      <c r="K181" s="2">
        <v>879</v>
      </c>
      <c r="L181" s="2">
        <v>803</v>
      </c>
      <c r="M181" s="2">
        <v>12292</v>
      </c>
      <c r="N181" s="2">
        <v>949</v>
      </c>
      <c r="O181" s="2">
        <v>402</v>
      </c>
      <c r="P181" s="2">
        <v>137</v>
      </c>
      <c r="Q181" s="2">
        <v>118</v>
      </c>
      <c r="R181" s="2">
        <v>85</v>
      </c>
    </row>
    <row r="182" spans="1:18" ht="9.75" customHeight="1">
      <c r="A182" s="3" t="s">
        <v>104</v>
      </c>
      <c r="C182" s="2">
        <v>1326</v>
      </c>
      <c r="D182" s="2">
        <v>21104</v>
      </c>
      <c r="E182" s="2">
        <v>446</v>
      </c>
      <c r="F182" s="2">
        <v>18631</v>
      </c>
      <c r="G182" s="2">
        <v>802</v>
      </c>
      <c r="H182" s="2">
        <v>627</v>
      </c>
      <c r="I182" s="2">
        <v>541</v>
      </c>
      <c r="J182" s="2">
        <v>848</v>
      </c>
      <c r="K182" s="2">
        <v>879</v>
      </c>
      <c r="L182" s="2">
        <v>803</v>
      </c>
      <c r="M182" s="2">
        <v>12292</v>
      </c>
      <c r="N182" s="2">
        <v>949</v>
      </c>
      <c r="O182" s="2">
        <v>402</v>
      </c>
      <c r="P182" s="2">
        <v>137</v>
      </c>
      <c r="Q182" s="2">
        <v>118</v>
      </c>
      <c r="R182" s="2">
        <v>85</v>
      </c>
    </row>
    <row r="183" spans="2:18" s="4" customFormat="1" ht="9.75" customHeight="1">
      <c r="B183" s="6" t="s">
        <v>105</v>
      </c>
      <c r="C183" s="4">
        <f aca="true" t="shared" si="23" ref="C183:J183">C182/44325</f>
        <v>0.029915397631133673</v>
      </c>
      <c r="D183" s="4">
        <f t="shared" si="23"/>
        <v>0.47611957134799776</v>
      </c>
      <c r="E183" s="4">
        <f t="shared" si="23"/>
        <v>0.010062041737168641</v>
      </c>
      <c r="F183" s="4">
        <f t="shared" si="23"/>
        <v>0.42032712915961645</v>
      </c>
      <c r="G183" s="4">
        <f t="shared" si="23"/>
        <v>0.018093626621545403</v>
      </c>
      <c r="H183" s="4">
        <f t="shared" si="23"/>
        <v>0.014145516074450085</v>
      </c>
      <c r="I183" s="4">
        <f t="shared" si="23"/>
        <v>0.012205301748448957</v>
      </c>
      <c r="J183" s="4">
        <f t="shared" si="23"/>
        <v>0.01913141567963903</v>
      </c>
      <c r="K183" s="4">
        <f>K182/14923</f>
        <v>0.058902365476110705</v>
      </c>
      <c r="L183" s="4">
        <f>L182/14923</f>
        <v>0.05380955571935938</v>
      </c>
      <c r="M183" s="4">
        <f>M182/14923</f>
        <v>0.8236949674998325</v>
      </c>
      <c r="N183" s="4">
        <f>N182/14923</f>
        <v>0.06359311130469744</v>
      </c>
      <c r="O183" s="4">
        <f>O182/402</f>
        <v>1</v>
      </c>
      <c r="P183" s="4">
        <f>P182/137</f>
        <v>1</v>
      </c>
      <c r="Q183" s="4">
        <f>Q182/118</f>
        <v>1</v>
      </c>
      <c r="R183" s="4">
        <f>R182/85</f>
        <v>1</v>
      </c>
    </row>
    <row r="184" spans="2:18" ht="4.5" customHeight="1">
      <c r="B184" s="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9.75" customHeight="1">
      <c r="A185" s="3" t="s">
        <v>84</v>
      </c>
      <c r="B185" s="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ht="9.75" customHeight="1">
      <c r="B186" s="5" t="s">
        <v>72</v>
      </c>
      <c r="C186" s="2">
        <v>1414</v>
      </c>
      <c r="D186" s="2">
        <v>27983</v>
      </c>
      <c r="E186" s="2">
        <v>427</v>
      </c>
      <c r="F186" s="2">
        <v>20295</v>
      </c>
      <c r="G186" s="2">
        <v>605</v>
      </c>
      <c r="H186" s="2">
        <v>571</v>
      </c>
      <c r="I186" s="2">
        <v>412</v>
      </c>
      <c r="J186" s="2">
        <v>779</v>
      </c>
      <c r="K186" s="2">
        <v>554</v>
      </c>
      <c r="L186" s="2">
        <v>635</v>
      </c>
      <c r="M186" s="2">
        <v>12003</v>
      </c>
      <c r="N186" s="2">
        <v>676</v>
      </c>
      <c r="O186" s="2">
        <v>315</v>
      </c>
      <c r="P186" s="2">
        <v>144</v>
      </c>
      <c r="Q186" s="2">
        <v>163</v>
      </c>
      <c r="R186" s="2">
        <v>63</v>
      </c>
    </row>
    <row r="187" spans="1:18" ht="9.75" customHeight="1">
      <c r="A187" s="3" t="s">
        <v>104</v>
      </c>
      <c r="C187" s="2">
        <v>1414</v>
      </c>
      <c r="D187" s="2">
        <v>27983</v>
      </c>
      <c r="E187" s="2">
        <v>427</v>
      </c>
      <c r="F187" s="2">
        <v>20295</v>
      </c>
      <c r="G187" s="2">
        <v>605</v>
      </c>
      <c r="H187" s="2">
        <v>571</v>
      </c>
      <c r="I187" s="2">
        <v>412</v>
      </c>
      <c r="J187" s="2">
        <v>779</v>
      </c>
      <c r="K187" s="2">
        <v>554</v>
      </c>
      <c r="L187" s="2">
        <v>635</v>
      </c>
      <c r="M187" s="2">
        <v>12003</v>
      </c>
      <c r="N187" s="2">
        <v>676</v>
      </c>
      <c r="O187" s="2">
        <v>315</v>
      </c>
      <c r="P187" s="2">
        <v>144</v>
      </c>
      <c r="Q187" s="2">
        <v>163</v>
      </c>
      <c r="R187" s="2">
        <v>63</v>
      </c>
    </row>
    <row r="188" spans="2:18" s="4" customFormat="1" ht="9.75" customHeight="1">
      <c r="B188" s="6" t="s">
        <v>105</v>
      </c>
      <c r="C188" s="4">
        <f aca="true" t="shared" si="24" ref="C188:J188">C187/52486</f>
        <v>0.026940517471325687</v>
      </c>
      <c r="D188" s="4">
        <f t="shared" si="24"/>
        <v>0.5331516975955493</v>
      </c>
      <c r="E188" s="4">
        <f t="shared" si="24"/>
        <v>0.008135502800746866</v>
      </c>
      <c r="F188" s="4">
        <f t="shared" si="24"/>
        <v>0.3866745417825706</v>
      </c>
      <c r="G188" s="4">
        <f t="shared" si="24"/>
        <v>0.011526883359372023</v>
      </c>
      <c r="H188" s="4">
        <f t="shared" si="24"/>
        <v>0.010879091567275083</v>
      </c>
      <c r="I188" s="4">
        <f t="shared" si="24"/>
        <v>0.00784971230423351</v>
      </c>
      <c r="J188" s="4">
        <f t="shared" si="24"/>
        <v>0.014842053118926953</v>
      </c>
      <c r="K188" s="4">
        <f>K187/13868</f>
        <v>0.03994808191520046</v>
      </c>
      <c r="L188" s="4">
        <f>L187/13868</f>
        <v>0.04578886645514854</v>
      </c>
      <c r="M188" s="4">
        <f>M187/13868</f>
        <v>0.8655177386789732</v>
      </c>
      <c r="N188" s="4">
        <f>N187/13868</f>
        <v>0.04874531295067782</v>
      </c>
      <c r="O188" s="4">
        <f>O187/315</f>
        <v>1</v>
      </c>
      <c r="P188" s="4">
        <f>P187/144</f>
        <v>1</v>
      </c>
      <c r="Q188" s="4">
        <f>Q187/163</f>
        <v>1</v>
      </c>
      <c r="R188" s="4">
        <f>R187/63</f>
        <v>1</v>
      </c>
    </row>
    <row r="189" spans="2:18" ht="4.5" customHeight="1"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9.75" customHeight="1">
      <c r="A190" s="3" t="s">
        <v>85</v>
      </c>
      <c r="B190" s="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2:18" ht="9.75" customHeight="1">
      <c r="B191" s="5" t="s">
        <v>72</v>
      </c>
      <c r="C191" s="2">
        <v>1321</v>
      </c>
      <c r="D191" s="2">
        <v>35287</v>
      </c>
      <c r="E191" s="2">
        <v>312</v>
      </c>
      <c r="F191" s="2">
        <v>27827</v>
      </c>
      <c r="G191" s="2">
        <v>715</v>
      </c>
      <c r="H191" s="2">
        <v>551</v>
      </c>
      <c r="I191" s="2">
        <v>395</v>
      </c>
      <c r="J191" s="2">
        <v>651</v>
      </c>
      <c r="K191" s="2">
        <v>470</v>
      </c>
      <c r="L191" s="2">
        <v>462</v>
      </c>
      <c r="M191" s="2">
        <v>7506</v>
      </c>
      <c r="N191" s="2">
        <v>501</v>
      </c>
      <c r="O191" s="2">
        <v>277</v>
      </c>
      <c r="P191" s="2">
        <v>337</v>
      </c>
      <c r="Q191" s="2">
        <v>140</v>
      </c>
      <c r="R191" s="2">
        <v>66</v>
      </c>
    </row>
    <row r="192" spans="1:18" ht="9.75" customHeight="1">
      <c r="A192" s="3" t="s">
        <v>104</v>
      </c>
      <c r="C192" s="2">
        <v>1321</v>
      </c>
      <c r="D192" s="2">
        <v>35287</v>
      </c>
      <c r="E192" s="2">
        <v>312</v>
      </c>
      <c r="F192" s="2">
        <v>27827</v>
      </c>
      <c r="G192" s="2">
        <v>715</v>
      </c>
      <c r="H192" s="2">
        <v>551</v>
      </c>
      <c r="I192" s="2">
        <v>395</v>
      </c>
      <c r="J192" s="2">
        <v>651</v>
      </c>
      <c r="K192" s="2">
        <v>470</v>
      </c>
      <c r="L192" s="2">
        <v>462</v>
      </c>
      <c r="M192" s="2">
        <v>7506</v>
      </c>
      <c r="N192" s="2">
        <v>501</v>
      </c>
      <c r="O192" s="2">
        <v>277</v>
      </c>
      <c r="P192" s="2">
        <v>337</v>
      </c>
      <c r="Q192" s="2">
        <v>140</v>
      </c>
      <c r="R192" s="2">
        <v>66</v>
      </c>
    </row>
    <row r="193" spans="2:18" s="4" customFormat="1" ht="9.75" customHeight="1">
      <c r="B193" s="6" t="s">
        <v>105</v>
      </c>
      <c r="C193" s="4">
        <f aca="true" t="shared" si="25" ref="C193:J193">C192/67059</f>
        <v>0.019699070967357103</v>
      </c>
      <c r="D193" s="4">
        <f t="shared" si="25"/>
        <v>0.5262082643642166</v>
      </c>
      <c r="E193" s="4">
        <f t="shared" si="25"/>
        <v>0.004652619335212276</v>
      </c>
      <c r="F193" s="4">
        <f t="shared" si="25"/>
        <v>0.41496294307997433</v>
      </c>
      <c r="G193" s="4">
        <f t="shared" si="25"/>
        <v>0.010662252643194798</v>
      </c>
      <c r="H193" s="4">
        <f t="shared" si="25"/>
        <v>0.00821664504391655</v>
      </c>
      <c r="I193" s="4">
        <f t="shared" si="25"/>
        <v>0.005890335376310413</v>
      </c>
      <c r="J193" s="4">
        <f t="shared" si="25"/>
        <v>0.009707869189817921</v>
      </c>
      <c r="K193" s="4">
        <f>K192/8939</f>
        <v>0.05257858820897192</v>
      </c>
      <c r="L193" s="4">
        <f>L192/8939</f>
        <v>0.05168363351605325</v>
      </c>
      <c r="M193" s="4">
        <f>M192/8939</f>
        <v>0.839691240630943</v>
      </c>
      <c r="N193" s="4">
        <f>N192/8939</f>
        <v>0.05604653764403177</v>
      </c>
      <c r="O193" s="4">
        <f>O192/277</f>
        <v>1</v>
      </c>
      <c r="P193" s="4">
        <f>P192/337</f>
        <v>1</v>
      </c>
      <c r="Q193" s="4">
        <f>Q192/140</f>
        <v>1</v>
      </c>
      <c r="R193" s="4">
        <f>R192/66</f>
        <v>1</v>
      </c>
    </row>
    <row r="194" spans="2:18" ht="4.5" customHeight="1">
      <c r="B194" s="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9.75" customHeight="1">
      <c r="A195" s="3" t="s">
        <v>86</v>
      </c>
      <c r="B195" s="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2:18" ht="9.75" customHeight="1">
      <c r="B196" s="5" t="s">
        <v>72</v>
      </c>
      <c r="C196" s="2">
        <v>1172</v>
      </c>
      <c r="D196" s="2">
        <v>22709</v>
      </c>
      <c r="E196" s="2">
        <v>515</v>
      </c>
      <c r="F196" s="2">
        <v>21284</v>
      </c>
      <c r="G196" s="2">
        <v>682</v>
      </c>
      <c r="H196" s="2">
        <v>762</v>
      </c>
      <c r="I196" s="2">
        <v>492</v>
      </c>
      <c r="J196" s="2">
        <v>880</v>
      </c>
      <c r="K196" s="2">
        <v>1204</v>
      </c>
      <c r="L196" s="2">
        <v>1071</v>
      </c>
      <c r="M196" s="2">
        <v>28289</v>
      </c>
      <c r="N196" s="2">
        <v>1485</v>
      </c>
      <c r="O196" s="2">
        <v>498</v>
      </c>
      <c r="P196" s="2">
        <v>397</v>
      </c>
      <c r="Q196" s="2">
        <v>243</v>
      </c>
      <c r="R196" s="2">
        <v>81</v>
      </c>
    </row>
    <row r="197" spans="1:18" ht="9.75" customHeight="1">
      <c r="A197" s="3" t="s">
        <v>104</v>
      </c>
      <c r="C197" s="2">
        <v>1172</v>
      </c>
      <c r="D197" s="2">
        <v>22709</v>
      </c>
      <c r="E197" s="2">
        <v>515</v>
      </c>
      <c r="F197" s="2">
        <v>21284</v>
      </c>
      <c r="G197" s="2">
        <v>682</v>
      </c>
      <c r="H197" s="2">
        <v>762</v>
      </c>
      <c r="I197" s="2">
        <v>492</v>
      </c>
      <c r="J197" s="2">
        <v>880</v>
      </c>
      <c r="K197" s="2">
        <v>1204</v>
      </c>
      <c r="L197" s="2">
        <v>1071</v>
      </c>
      <c r="M197" s="2">
        <v>28289</v>
      </c>
      <c r="N197" s="2">
        <v>1485</v>
      </c>
      <c r="O197" s="2">
        <v>498</v>
      </c>
      <c r="P197" s="2">
        <v>397</v>
      </c>
      <c r="Q197" s="2">
        <v>243</v>
      </c>
      <c r="R197" s="2">
        <v>81</v>
      </c>
    </row>
    <row r="198" spans="2:18" s="4" customFormat="1" ht="9.75" customHeight="1">
      <c r="B198" s="6" t="s">
        <v>105</v>
      </c>
      <c r="C198" s="4">
        <f aca="true" t="shared" si="26" ref="C198:J198">C197/48496</f>
        <v>0.024166941603431212</v>
      </c>
      <c r="D198" s="4">
        <f t="shared" si="26"/>
        <v>0.46826542395249093</v>
      </c>
      <c r="E198" s="4">
        <f t="shared" si="26"/>
        <v>0.01061943253051798</v>
      </c>
      <c r="F198" s="4">
        <f t="shared" si="26"/>
        <v>0.43888155724183436</v>
      </c>
      <c r="G198" s="4">
        <f t="shared" si="26"/>
        <v>0.01406301550643352</v>
      </c>
      <c r="H198" s="4">
        <f t="shared" si="26"/>
        <v>0.01571263609369845</v>
      </c>
      <c r="I198" s="4">
        <f t="shared" si="26"/>
        <v>0.010145166611679314</v>
      </c>
      <c r="J198" s="4">
        <f t="shared" si="26"/>
        <v>0.018145826459914218</v>
      </c>
      <c r="K198" s="4">
        <f>K197/32049</f>
        <v>0.03756747480420606</v>
      </c>
      <c r="L198" s="4">
        <f>L197/32049</f>
        <v>0.03341757933164841</v>
      </c>
      <c r="M198" s="4">
        <f>M197/32049</f>
        <v>0.8826796467908515</v>
      </c>
      <c r="N198" s="4">
        <f>N197/32049</f>
        <v>0.04633529907329402</v>
      </c>
      <c r="O198" s="4">
        <f>O197/498</f>
        <v>1</v>
      </c>
      <c r="P198" s="4">
        <f>P197/397</f>
        <v>1</v>
      </c>
      <c r="Q198" s="4">
        <f>Q197/243</f>
        <v>1</v>
      </c>
      <c r="R198" s="4">
        <f>R197/81</f>
        <v>1</v>
      </c>
    </row>
    <row r="199" spans="2:18" ht="4.5" customHeight="1">
      <c r="B199" s="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9.75" customHeight="1">
      <c r="A200" s="3" t="s">
        <v>87</v>
      </c>
      <c r="B200" s="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2:18" ht="9.75" customHeight="1">
      <c r="B201" s="5" t="s">
        <v>72</v>
      </c>
      <c r="C201" s="2">
        <v>1364</v>
      </c>
      <c r="D201" s="2">
        <v>34445</v>
      </c>
      <c r="E201" s="2">
        <v>598</v>
      </c>
      <c r="F201" s="2">
        <v>27358</v>
      </c>
      <c r="G201" s="2">
        <v>709</v>
      </c>
      <c r="H201" s="2">
        <v>764</v>
      </c>
      <c r="I201" s="2">
        <v>494</v>
      </c>
      <c r="J201" s="2">
        <v>1026</v>
      </c>
      <c r="K201" s="2">
        <v>1352</v>
      </c>
      <c r="L201" s="2">
        <v>1425</v>
      </c>
      <c r="M201" s="2">
        <v>30956</v>
      </c>
      <c r="N201" s="2">
        <v>1350</v>
      </c>
      <c r="O201" s="2">
        <v>564</v>
      </c>
      <c r="P201" s="2">
        <v>554</v>
      </c>
      <c r="Q201" s="2">
        <v>364</v>
      </c>
      <c r="R201" s="2">
        <v>103</v>
      </c>
    </row>
    <row r="202" spans="1:18" ht="9.75" customHeight="1">
      <c r="A202" s="3" t="s">
        <v>104</v>
      </c>
      <c r="C202" s="2">
        <v>1364</v>
      </c>
      <c r="D202" s="2">
        <v>34445</v>
      </c>
      <c r="E202" s="2">
        <v>598</v>
      </c>
      <c r="F202" s="2">
        <v>27358</v>
      </c>
      <c r="G202" s="2">
        <v>709</v>
      </c>
      <c r="H202" s="2">
        <v>764</v>
      </c>
      <c r="I202" s="2">
        <v>494</v>
      </c>
      <c r="J202" s="2">
        <v>1026</v>
      </c>
      <c r="K202" s="2">
        <v>1352</v>
      </c>
      <c r="L202" s="2">
        <v>1425</v>
      </c>
      <c r="M202" s="2">
        <v>30956</v>
      </c>
      <c r="N202" s="2">
        <v>1350</v>
      </c>
      <c r="O202" s="2">
        <v>564</v>
      </c>
      <c r="P202" s="2">
        <v>554</v>
      </c>
      <c r="Q202" s="2">
        <v>364</v>
      </c>
      <c r="R202" s="2">
        <v>103</v>
      </c>
    </row>
    <row r="203" spans="2:18" s="4" customFormat="1" ht="9.75" customHeight="1">
      <c r="B203" s="6" t="s">
        <v>105</v>
      </c>
      <c r="C203" s="4">
        <f aca="true" t="shared" si="27" ref="C203:J203">C202/66758</f>
        <v>0.020432008148836094</v>
      </c>
      <c r="D203" s="4">
        <f t="shared" si="27"/>
        <v>0.5159681236705713</v>
      </c>
      <c r="E203" s="4">
        <f t="shared" si="27"/>
        <v>0.00895772791275952</v>
      </c>
      <c r="F203" s="4">
        <f t="shared" si="27"/>
        <v>0.40980856226969054</v>
      </c>
      <c r="G203" s="4">
        <f t="shared" si="27"/>
        <v>0.010620449983522575</v>
      </c>
      <c r="H203" s="4">
        <f t="shared" si="27"/>
        <v>0.01144432127984661</v>
      </c>
      <c r="I203" s="4">
        <f t="shared" si="27"/>
        <v>0.007399862188801342</v>
      </c>
      <c r="J203" s="4">
        <f t="shared" si="27"/>
        <v>0.015368944545972018</v>
      </c>
      <c r="K203" s="4">
        <f>K202/35083</f>
        <v>0.03853718325114728</v>
      </c>
      <c r="L203" s="4">
        <f>L202/35083</f>
        <v>0.04061796311603911</v>
      </c>
      <c r="M203" s="4">
        <f>M202/35083</f>
        <v>0.8823646780491976</v>
      </c>
      <c r="N203" s="4">
        <f>N202/35083</f>
        <v>0.038480175583615994</v>
      </c>
      <c r="O203" s="4">
        <f>O202/564</f>
        <v>1</v>
      </c>
      <c r="P203" s="4">
        <f>P202/554</f>
        <v>1</v>
      </c>
      <c r="Q203" s="4">
        <f>Q202/364</f>
        <v>1</v>
      </c>
      <c r="R203" s="4">
        <f>R202/103</f>
        <v>1</v>
      </c>
    </row>
    <row r="204" spans="2:18" ht="4.5" customHeight="1"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9.75" customHeight="1">
      <c r="A205" s="3" t="s">
        <v>89</v>
      </c>
      <c r="B205" s="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ht="9.75" customHeight="1">
      <c r="B206" s="5" t="s">
        <v>72</v>
      </c>
      <c r="C206" s="2">
        <v>515</v>
      </c>
      <c r="D206" s="2">
        <v>13044</v>
      </c>
      <c r="E206" s="2">
        <v>392</v>
      </c>
      <c r="F206" s="2">
        <v>10135</v>
      </c>
      <c r="G206" s="2">
        <v>280</v>
      </c>
      <c r="H206" s="2">
        <v>349</v>
      </c>
      <c r="I206" s="2">
        <v>261</v>
      </c>
      <c r="J206" s="2">
        <v>436</v>
      </c>
      <c r="K206" s="2">
        <v>994</v>
      </c>
      <c r="L206" s="2">
        <v>999</v>
      </c>
      <c r="M206" s="2">
        <v>26974</v>
      </c>
      <c r="N206" s="2">
        <v>1135</v>
      </c>
      <c r="O206" s="2">
        <v>299</v>
      </c>
      <c r="P206" s="2">
        <v>225</v>
      </c>
      <c r="Q206" s="2">
        <v>196</v>
      </c>
      <c r="R206" s="2">
        <v>29</v>
      </c>
    </row>
    <row r="207" spans="2:18" ht="9.75" customHeight="1">
      <c r="B207" s="5" t="s">
        <v>88</v>
      </c>
      <c r="C207" s="2">
        <v>302</v>
      </c>
      <c r="D207" s="2">
        <v>4819</v>
      </c>
      <c r="E207" s="2">
        <v>190</v>
      </c>
      <c r="F207" s="2">
        <v>4180</v>
      </c>
      <c r="G207" s="2">
        <v>198</v>
      </c>
      <c r="H207" s="2">
        <v>148</v>
      </c>
      <c r="I207" s="2">
        <v>101</v>
      </c>
      <c r="J207" s="2">
        <v>225</v>
      </c>
      <c r="K207" s="2">
        <v>660</v>
      </c>
      <c r="L207" s="2">
        <v>481</v>
      </c>
      <c r="M207" s="2">
        <v>19888</v>
      </c>
      <c r="N207" s="2">
        <v>579</v>
      </c>
      <c r="O207" s="2">
        <v>198</v>
      </c>
      <c r="P207" s="2">
        <v>67</v>
      </c>
      <c r="Q207" s="2">
        <v>99</v>
      </c>
      <c r="R207" s="2">
        <v>28</v>
      </c>
    </row>
    <row r="208" spans="2:18" ht="9.75" customHeight="1">
      <c r="B208" s="5" t="s">
        <v>73</v>
      </c>
      <c r="C208" s="2">
        <v>128</v>
      </c>
      <c r="D208" s="2">
        <v>2482</v>
      </c>
      <c r="E208" s="2">
        <v>85</v>
      </c>
      <c r="F208" s="2">
        <v>2026</v>
      </c>
      <c r="G208" s="2">
        <v>56</v>
      </c>
      <c r="H208" s="2">
        <v>59</v>
      </c>
      <c r="I208" s="2">
        <v>44</v>
      </c>
      <c r="J208" s="2">
        <v>126</v>
      </c>
      <c r="K208" s="2">
        <v>257</v>
      </c>
      <c r="L208" s="2">
        <v>209</v>
      </c>
      <c r="M208" s="2">
        <v>5520</v>
      </c>
      <c r="N208" s="2">
        <v>432</v>
      </c>
      <c r="O208" s="2">
        <v>60</v>
      </c>
      <c r="P208" s="2">
        <v>29</v>
      </c>
      <c r="Q208" s="2">
        <v>32</v>
      </c>
      <c r="R208" s="2">
        <v>9</v>
      </c>
    </row>
    <row r="209" spans="1:18" ht="9.75" customHeight="1">
      <c r="A209" s="3" t="s">
        <v>104</v>
      </c>
      <c r="C209" s="2">
        <v>945</v>
      </c>
      <c r="D209" s="2">
        <v>20345</v>
      </c>
      <c r="E209" s="2">
        <v>667</v>
      </c>
      <c r="F209" s="2">
        <v>16341</v>
      </c>
      <c r="G209" s="2">
        <v>534</v>
      </c>
      <c r="H209" s="2">
        <v>556</v>
      </c>
      <c r="I209" s="2">
        <v>406</v>
      </c>
      <c r="J209" s="2">
        <v>787</v>
      </c>
      <c r="K209" s="2">
        <v>1911</v>
      </c>
      <c r="L209" s="2">
        <v>1689</v>
      </c>
      <c r="M209" s="2">
        <v>52382</v>
      </c>
      <c r="N209" s="2">
        <v>2146</v>
      </c>
      <c r="O209" s="2">
        <v>557</v>
      </c>
      <c r="P209" s="2">
        <v>321</v>
      </c>
      <c r="Q209" s="2">
        <v>327</v>
      </c>
      <c r="R209" s="2">
        <v>66</v>
      </c>
    </row>
    <row r="210" spans="2:18" s="4" customFormat="1" ht="9.75" customHeight="1">
      <c r="B210" s="6" t="s">
        <v>105</v>
      </c>
      <c r="C210" s="4">
        <f aca="true" t="shared" si="28" ref="C210:J210">C209/40581</f>
        <v>0.023286759813705923</v>
      </c>
      <c r="D210" s="4">
        <f t="shared" si="28"/>
        <v>0.501342993026293</v>
      </c>
      <c r="E210" s="4">
        <f t="shared" si="28"/>
        <v>0.016436263275917302</v>
      </c>
      <c r="F210" s="4">
        <f t="shared" si="28"/>
        <v>0.4026761292230354</v>
      </c>
      <c r="G210" s="4">
        <f t="shared" si="28"/>
        <v>0.013158867450284616</v>
      </c>
      <c r="H210" s="4">
        <f t="shared" si="28"/>
        <v>0.01370099307557724</v>
      </c>
      <c r="I210" s="4">
        <f t="shared" si="28"/>
        <v>0.010004681994036618</v>
      </c>
      <c r="J210" s="4">
        <f t="shared" si="28"/>
        <v>0.0193933121411498</v>
      </c>
      <c r="K210" s="4">
        <f>K209/58128</f>
        <v>0.0328757225433526</v>
      </c>
      <c r="L210" s="4">
        <f>L209/58128</f>
        <v>0.029056564822460777</v>
      </c>
      <c r="M210" s="4">
        <f>M209/58128</f>
        <v>0.901149187998899</v>
      </c>
      <c r="N210" s="4">
        <f>N209/58128</f>
        <v>0.03691852463528764</v>
      </c>
      <c r="O210" s="4">
        <f>O209/557</f>
        <v>1</v>
      </c>
      <c r="P210" s="4">
        <f>P209/321</f>
        <v>1</v>
      </c>
      <c r="Q210" s="4">
        <f>Q209/327</f>
        <v>1</v>
      </c>
      <c r="R210" s="4">
        <f>R209/66</f>
        <v>1</v>
      </c>
    </row>
    <row r="211" spans="2:18" ht="4.5" customHeight="1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9.75" customHeight="1">
      <c r="A212" s="3" t="s">
        <v>90</v>
      </c>
      <c r="B212" s="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2:18" ht="9.75" customHeight="1">
      <c r="B213" s="5" t="s">
        <v>72</v>
      </c>
      <c r="C213" s="2">
        <v>1343</v>
      </c>
      <c r="D213" s="2">
        <v>20312</v>
      </c>
      <c r="E213" s="2">
        <v>480</v>
      </c>
      <c r="F213" s="2">
        <v>19634</v>
      </c>
      <c r="G213" s="2">
        <v>885</v>
      </c>
      <c r="H213" s="2">
        <v>654</v>
      </c>
      <c r="I213" s="2">
        <v>624</v>
      </c>
      <c r="J213" s="2">
        <v>800</v>
      </c>
      <c r="K213" s="2">
        <v>838</v>
      </c>
      <c r="L213" s="2">
        <v>720</v>
      </c>
      <c r="M213" s="2">
        <v>13649</v>
      </c>
      <c r="N213" s="2">
        <v>1052</v>
      </c>
      <c r="O213" s="2">
        <v>328</v>
      </c>
      <c r="P213" s="2">
        <v>124</v>
      </c>
      <c r="Q213" s="2">
        <v>110</v>
      </c>
      <c r="R213" s="2">
        <v>59</v>
      </c>
    </row>
    <row r="214" spans="1:18" ht="9.75" customHeight="1">
      <c r="A214" s="3" t="s">
        <v>104</v>
      </c>
      <c r="C214" s="2">
        <v>1343</v>
      </c>
      <c r="D214" s="2">
        <v>20312</v>
      </c>
      <c r="E214" s="2">
        <v>480</v>
      </c>
      <c r="F214" s="2">
        <v>19634</v>
      </c>
      <c r="G214" s="2">
        <v>885</v>
      </c>
      <c r="H214" s="2">
        <v>654</v>
      </c>
      <c r="I214" s="2">
        <v>624</v>
      </c>
      <c r="J214" s="2">
        <v>800</v>
      </c>
      <c r="K214" s="2">
        <v>838</v>
      </c>
      <c r="L214" s="2">
        <v>720</v>
      </c>
      <c r="M214" s="2">
        <v>13649</v>
      </c>
      <c r="N214" s="2">
        <v>1052</v>
      </c>
      <c r="O214" s="2">
        <v>328</v>
      </c>
      <c r="P214" s="2">
        <v>124</v>
      </c>
      <c r="Q214" s="2">
        <v>110</v>
      </c>
      <c r="R214" s="2">
        <v>59</v>
      </c>
    </row>
    <row r="215" spans="2:18" s="4" customFormat="1" ht="9.75" customHeight="1">
      <c r="B215" s="6" t="s">
        <v>105</v>
      </c>
      <c r="C215" s="4">
        <f aca="true" t="shared" si="29" ref="C215:J215">C214/44732</f>
        <v>0.030023249575248146</v>
      </c>
      <c r="D215" s="4">
        <f t="shared" si="29"/>
        <v>0.4540820888849146</v>
      </c>
      <c r="E215" s="4">
        <f t="shared" si="29"/>
        <v>0.01073057319145131</v>
      </c>
      <c r="F215" s="4">
        <f t="shared" si="29"/>
        <v>0.43892515425198964</v>
      </c>
      <c r="G215" s="4">
        <f t="shared" si="29"/>
        <v>0.019784494321738354</v>
      </c>
      <c r="H215" s="4">
        <f t="shared" si="29"/>
        <v>0.01462040597335241</v>
      </c>
      <c r="I215" s="4">
        <f t="shared" si="29"/>
        <v>0.013949745148886703</v>
      </c>
      <c r="J215" s="4">
        <f t="shared" si="29"/>
        <v>0.01788428865241885</v>
      </c>
      <c r="K215" s="4">
        <f>K214/16259</f>
        <v>0.051540685158988866</v>
      </c>
      <c r="L215" s="4">
        <f>L214/16259</f>
        <v>0.04428316624638662</v>
      </c>
      <c r="M215" s="4">
        <f>M214/16259</f>
        <v>0.8394735223568485</v>
      </c>
      <c r="N215" s="4">
        <f>N214/16259</f>
        <v>0.064702626237776</v>
      </c>
      <c r="O215" s="4">
        <f>O214/328</f>
        <v>1</v>
      </c>
      <c r="P215" s="4">
        <f>P214/124</f>
        <v>1</v>
      </c>
      <c r="Q215" s="4">
        <f>Q214/110</f>
        <v>1</v>
      </c>
      <c r="R215" s="4">
        <f>R214/59</f>
        <v>1</v>
      </c>
    </row>
    <row r="216" spans="2:18" ht="4.5" customHeight="1"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9.75" customHeight="1">
      <c r="A217" s="3" t="s">
        <v>92</v>
      </c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2:18" ht="9.75" customHeight="1">
      <c r="B218" s="5" t="s">
        <v>91</v>
      </c>
      <c r="C218" s="2">
        <v>457</v>
      </c>
      <c r="D218" s="2">
        <v>7211</v>
      </c>
      <c r="E218" s="2">
        <v>241</v>
      </c>
      <c r="F218" s="2">
        <v>7011</v>
      </c>
      <c r="G218" s="2">
        <v>302</v>
      </c>
      <c r="H218" s="2">
        <v>213</v>
      </c>
      <c r="I218" s="2">
        <v>225</v>
      </c>
      <c r="J218" s="2">
        <v>325</v>
      </c>
      <c r="K218" s="2">
        <v>649</v>
      </c>
      <c r="L218" s="2">
        <v>536</v>
      </c>
      <c r="M218" s="2">
        <v>13672</v>
      </c>
      <c r="N218" s="2">
        <v>842</v>
      </c>
      <c r="O218" s="2">
        <v>250</v>
      </c>
      <c r="P218" s="2">
        <v>111</v>
      </c>
      <c r="Q218" s="2">
        <v>101</v>
      </c>
      <c r="R218" s="2">
        <v>38</v>
      </c>
    </row>
    <row r="219" spans="2:18" ht="9.75" customHeight="1">
      <c r="B219" s="5" t="s">
        <v>73</v>
      </c>
      <c r="C219" s="2">
        <v>583</v>
      </c>
      <c r="D219" s="2">
        <v>12088</v>
      </c>
      <c r="E219" s="2">
        <v>330</v>
      </c>
      <c r="F219" s="2">
        <v>10304</v>
      </c>
      <c r="G219" s="2">
        <v>376</v>
      </c>
      <c r="H219" s="2">
        <v>335</v>
      </c>
      <c r="I219" s="2">
        <v>263</v>
      </c>
      <c r="J219" s="2">
        <v>409</v>
      </c>
      <c r="K219" s="2">
        <v>1278</v>
      </c>
      <c r="L219" s="2">
        <v>1210</v>
      </c>
      <c r="M219" s="2">
        <v>32872</v>
      </c>
      <c r="N219" s="2">
        <v>1324</v>
      </c>
      <c r="O219" s="2">
        <v>427</v>
      </c>
      <c r="P219" s="2">
        <v>210</v>
      </c>
      <c r="Q219" s="2">
        <v>216</v>
      </c>
      <c r="R219" s="2">
        <v>47</v>
      </c>
    </row>
    <row r="220" spans="1:18" ht="9.75" customHeight="1">
      <c r="A220" s="3" t="s">
        <v>104</v>
      </c>
      <c r="C220" s="2">
        <v>1040</v>
      </c>
      <c r="D220" s="2">
        <v>19299</v>
      </c>
      <c r="E220" s="2">
        <v>571</v>
      </c>
      <c r="F220" s="2">
        <v>17315</v>
      </c>
      <c r="G220" s="2">
        <v>678</v>
      </c>
      <c r="H220" s="2">
        <v>548</v>
      </c>
      <c r="I220" s="2">
        <v>488</v>
      </c>
      <c r="J220" s="2">
        <v>734</v>
      </c>
      <c r="K220" s="2">
        <v>1927</v>
      </c>
      <c r="L220" s="2">
        <v>1746</v>
      </c>
      <c r="M220" s="2">
        <v>46544</v>
      </c>
      <c r="N220" s="2">
        <v>2166</v>
      </c>
      <c r="O220" s="2">
        <v>677</v>
      </c>
      <c r="P220" s="2">
        <v>321</v>
      </c>
      <c r="Q220" s="2">
        <v>317</v>
      </c>
      <c r="R220" s="2">
        <v>85</v>
      </c>
    </row>
    <row r="221" spans="2:18" s="4" customFormat="1" ht="9.75" customHeight="1">
      <c r="B221" s="6" t="s">
        <v>105</v>
      </c>
      <c r="C221" s="4">
        <f aca="true" t="shared" si="30" ref="C221:J221">C220/40673</f>
        <v>0.02556978831165638</v>
      </c>
      <c r="D221" s="4">
        <f t="shared" si="30"/>
        <v>0.47449167752563126</v>
      </c>
      <c r="E221" s="4">
        <f t="shared" si="30"/>
        <v>0.014038797236495955</v>
      </c>
      <c r="F221" s="4">
        <f t="shared" si="30"/>
        <v>0.4257123890541637</v>
      </c>
      <c r="G221" s="4">
        <f t="shared" si="30"/>
        <v>0.016669535072406757</v>
      </c>
      <c r="H221" s="4">
        <f t="shared" si="30"/>
        <v>0.013473311533449708</v>
      </c>
      <c r="I221" s="4">
        <f t="shared" si="30"/>
        <v>0.011998131438546457</v>
      </c>
      <c r="J221" s="4">
        <f t="shared" si="30"/>
        <v>0.018046369827649792</v>
      </c>
      <c r="K221" s="4">
        <f>K220/52383</f>
        <v>0.03678674379092454</v>
      </c>
      <c r="L221" s="4">
        <f>L220/52383</f>
        <v>0.03333142431704943</v>
      </c>
      <c r="M221" s="4">
        <f>M220/52383</f>
        <v>0.8885325391825593</v>
      </c>
      <c r="N221" s="4">
        <f>N220/52383</f>
        <v>0.041349292709466814</v>
      </c>
      <c r="O221" s="4">
        <f>O220/677</f>
        <v>1</v>
      </c>
      <c r="P221" s="4">
        <f>P220/321</f>
        <v>1</v>
      </c>
      <c r="Q221" s="4">
        <f>Q220/317</f>
        <v>1</v>
      </c>
      <c r="R221" s="4">
        <f>R220/85</f>
        <v>1</v>
      </c>
    </row>
    <row r="222" spans="2:18" ht="4.5" customHeight="1"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9.75" customHeight="1">
      <c r="A223" s="3" t="s">
        <v>93</v>
      </c>
      <c r="B223" s="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2:18" ht="9.75" customHeight="1">
      <c r="B224" s="5" t="s">
        <v>72</v>
      </c>
      <c r="C224" s="2">
        <v>221</v>
      </c>
      <c r="D224" s="2">
        <v>2781</v>
      </c>
      <c r="E224" s="2">
        <v>77</v>
      </c>
      <c r="F224" s="2">
        <v>2574</v>
      </c>
      <c r="G224" s="2">
        <v>92</v>
      </c>
      <c r="H224" s="2">
        <v>82</v>
      </c>
      <c r="I224" s="2">
        <v>42</v>
      </c>
      <c r="J224" s="2">
        <v>156</v>
      </c>
      <c r="K224" s="2">
        <v>156</v>
      </c>
      <c r="L224" s="2">
        <v>128</v>
      </c>
      <c r="M224" s="2">
        <v>1751</v>
      </c>
      <c r="N224" s="2">
        <v>152</v>
      </c>
      <c r="O224" s="2">
        <v>56</v>
      </c>
      <c r="P224" s="2">
        <v>23</v>
      </c>
      <c r="Q224" s="2">
        <v>16</v>
      </c>
      <c r="R224" s="2">
        <v>9</v>
      </c>
    </row>
    <row r="225" spans="2:18" ht="9.75" customHeight="1">
      <c r="B225" s="5" t="s">
        <v>73</v>
      </c>
      <c r="C225" s="2">
        <v>928</v>
      </c>
      <c r="D225" s="2">
        <v>12164</v>
      </c>
      <c r="E225" s="2">
        <v>253</v>
      </c>
      <c r="F225" s="2">
        <v>12329</v>
      </c>
      <c r="G225" s="2">
        <v>477</v>
      </c>
      <c r="H225" s="2">
        <v>612</v>
      </c>
      <c r="I225" s="2">
        <v>262</v>
      </c>
      <c r="J225" s="2">
        <v>770</v>
      </c>
      <c r="K225" s="2">
        <v>911</v>
      </c>
      <c r="L225" s="2">
        <v>652</v>
      </c>
      <c r="M225" s="2">
        <v>11150</v>
      </c>
      <c r="N225" s="2">
        <v>1107</v>
      </c>
      <c r="O225" s="2">
        <v>278</v>
      </c>
      <c r="P225" s="2">
        <v>95</v>
      </c>
      <c r="Q225" s="2">
        <v>95</v>
      </c>
      <c r="R225" s="2">
        <v>63</v>
      </c>
    </row>
    <row r="226" spans="1:18" ht="9.75" customHeight="1">
      <c r="A226" s="3" t="s">
        <v>104</v>
      </c>
      <c r="C226" s="2">
        <v>1149</v>
      </c>
      <c r="D226" s="2">
        <v>14945</v>
      </c>
      <c r="E226" s="2">
        <v>330</v>
      </c>
      <c r="F226" s="2">
        <v>14903</v>
      </c>
      <c r="G226" s="2">
        <v>569</v>
      </c>
      <c r="H226" s="2">
        <v>694</v>
      </c>
      <c r="I226" s="2">
        <v>304</v>
      </c>
      <c r="J226" s="2">
        <v>926</v>
      </c>
      <c r="K226" s="2">
        <v>1067</v>
      </c>
      <c r="L226" s="2">
        <v>780</v>
      </c>
      <c r="M226" s="2">
        <v>12901</v>
      </c>
      <c r="N226" s="2">
        <v>1259</v>
      </c>
      <c r="O226" s="2">
        <v>334</v>
      </c>
      <c r="P226" s="2">
        <v>118</v>
      </c>
      <c r="Q226" s="2">
        <v>111</v>
      </c>
      <c r="R226" s="2">
        <v>72</v>
      </c>
    </row>
    <row r="227" spans="2:18" s="4" customFormat="1" ht="9.75" customHeight="1">
      <c r="B227" s="6" t="s">
        <v>105</v>
      </c>
      <c r="C227" s="4">
        <f aca="true" t="shared" si="31" ref="C227:J227">C226/33820</f>
        <v>0.03397397989355411</v>
      </c>
      <c r="D227" s="4">
        <f t="shared" si="31"/>
        <v>0.4418982850384388</v>
      </c>
      <c r="E227" s="4">
        <f t="shared" si="31"/>
        <v>0.009757539917208752</v>
      </c>
      <c r="F227" s="4">
        <f t="shared" si="31"/>
        <v>0.44065641632170316</v>
      </c>
      <c r="G227" s="4">
        <f t="shared" si="31"/>
        <v>0.016824364281490242</v>
      </c>
      <c r="H227" s="4">
        <f t="shared" si="31"/>
        <v>0.0205204021289178</v>
      </c>
      <c r="I227" s="4">
        <f t="shared" si="31"/>
        <v>0.008988764044943821</v>
      </c>
      <c r="J227" s="4">
        <f t="shared" si="31"/>
        <v>0.027380248373743348</v>
      </c>
      <c r="K227" s="4">
        <f>K226/16007</f>
        <v>0.06665833697757231</v>
      </c>
      <c r="L227" s="4">
        <f>L226/16007</f>
        <v>0.048728681201974135</v>
      </c>
      <c r="M227" s="4">
        <f>M226/16007</f>
        <v>0.8059598925470107</v>
      </c>
      <c r="N227" s="4">
        <f>N226/16007</f>
        <v>0.07865308927344287</v>
      </c>
      <c r="O227" s="4">
        <f>O226/334</f>
        <v>1</v>
      </c>
      <c r="P227" s="4">
        <f>P226/118</f>
        <v>1</v>
      </c>
      <c r="Q227" s="4">
        <f>Q226/111</f>
        <v>1</v>
      </c>
      <c r="R227" s="4">
        <f>R226/72</f>
        <v>1</v>
      </c>
    </row>
    <row r="228" spans="2:18" ht="4.5" customHeight="1"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9.75" customHeight="1">
      <c r="A229" s="3" t="s">
        <v>94</v>
      </c>
      <c r="B229" s="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2:18" ht="9.75" customHeight="1">
      <c r="B230" s="5" t="s">
        <v>88</v>
      </c>
      <c r="C230" s="2">
        <v>973</v>
      </c>
      <c r="D230" s="2">
        <v>18597</v>
      </c>
      <c r="E230" s="2">
        <v>599</v>
      </c>
      <c r="F230" s="2">
        <v>17325</v>
      </c>
      <c r="G230" s="2">
        <v>613</v>
      </c>
      <c r="H230" s="2">
        <v>596</v>
      </c>
      <c r="I230" s="2">
        <v>373</v>
      </c>
      <c r="J230" s="2">
        <v>797</v>
      </c>
      <c r="K230" s="2">
        <v>1922</v>
      </c>
      <c r="L230" s="2">
        <v>1942</v>
      </c>
      <c r="M230" s="2">
        <v>73281</v>
      </c>
      <c r="N230" s="2">
        <v>2255</v>
      </c>
      <c r="O230" s="2">
        <v>686</v>
      </c>
      <c r="P230" s="2">
        <v>334</v>
      </c>
      <c r="Q230" s="2">
        <v>601</v>
      </c>
      <c r="R230" s="2">
        <v>62</v>
      </c>
    </row>
    <row r="231" spans="1:18" ht="9.75" customHeight="1">
      <c r="A231" s="3" t="s">
        <v>104</v>
      </c>
      <c r="C231" s="2">
        <v>973</v>
      </c>
      <c r="D231" s="2">
        <v>18597</v>
      </c>
      <c r="E231" s="2">
        <v>599</v>
      </c>
      <c r="F231" s="2">
        <v>17325</v>
      </c>
      <c r="G231" s="2">
        <v>613</v>
      </c>
      <c r="H231" s="2">
        <v>596</v>
      </c>
      <c r="I231" s="2">
        <v>373</v>
      </c>
      <c r="J231" s="2">
        <v>797</v>
      </c>
      <c r="K231" s="2">
        <v>1922</v>
      </c>
      <c r="L231" s="2">
        <v>1942</v>
      </c>
      <c r="M231" s="2">
        <v>73281</v>
      </c>
      <c r="N231" s="2">
        <v>2255</v>
      </c>
      <c r="O231" s="2">
        <v>686</v>
      </c>
      <c r="P231" s="2">
        <v>334</v>
      </c>
      <c r="Q231" s="2">
        <v>601</v>
      </c>
      <c r="R231" s="2">
        <v>62</v>
      </c>
    </row>
    <row r="232" spans="2:18" s="4" customFormat="1" ht="9.75" customHeight="1">
      <c r="B232" s="6" t="s">
        <v>105</v>
      </c>
      <c r="C232" s="4">
        <f aca="true" t="shared" si="32" ref="C232:J232">C231/39873</f>
        <v>0.02440247786722845</v>
      </c>
      <c r="D232" s="4">
        <f t="shared" si="32"/>
        <v>0.4664058385373561</v>
      </c>
      <c r="E232" s="4">
        <f t="shared" si="32"/>
        <v>0.015022697063175583</v>
      </c>
      <c r="F232" s="4">
        <f t="shared" si="32"/>
        <v>0.434504551952449</v>
      </c>
      <c r="G232" s="4">
        <f t="shared" si="32"/>
        <v>0.015373811852632107</v>
      </c>
      <c r="H232" s="4">
        <f t="shared" si="32"/>
        <v>0.014947458179720614</v>
      </c>
      <c r="I232" s="4">
        <f t="shared" si="32"/>
        <v>0.009354701176234544</v>
      </c>
      <c r="J232" s="4">
        <f t="shared" si="32"/>
        <v>0.019988463371203573</v>
      </c>
      <c r="K232" s="4">
        <f>K231/79400</f>
        <v>0.024206549118387908</v>
      </c>
      <c r="L232" s="4">
        <f>L231/79400</f>
        <v>0.024458438287153654</v>
      </c>
      <c r="M232" s="4">
        <f>M231/79400</f>
        <v>0.9229345088161209</v>
      </c>
      <c r="N232" s="4">
        <f>N231/79400</f>
        <v>0.02840050377833753</v>
      </c>
      <c r="O232" s="4">
        <f>O231/686</f>
        <v>1</v>
      </c>
      <c r="P232" s="4">
        <f>P231/334</f>
        <v>1</v>
      </c>
      <c r="Q232" s="4">
        <f>Q231/601</f>
        <v>1</v>
      </c>
      <c r="R232" s="4">
        <f>R231/62</f>
        <v>1</v>
      </c>
    </row>
    <row r="233" spans="2:18" ht="4.5" customHeight="1"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9.75" customHeight="1">
      <c r="A234" s="3" t="s">
        <v>95</v>
      </c>
      <c r="B234" s="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2:18" ht="9.75" customHeight="1">
      <c r="B235" s="5" t="s">
        <v>88</v>
      </c>
      <c r="C235" s="2">
        <v>1687</v>
      </c>
      <c r="D235" s="2">
        <v>10977</v>
      </c>
      <c r="E235" s="2">
        <v>502</v>
      </c>
      <c r="F235" s="2">
        <v>12816</v>
      </c>
      <c r="G235" s="2">
        <v>791</v>
      </c>
      <c r="H235" s="2">
        <v>797</v>
      </c>
      <c r="I235" s="2">
        <v>445</v>
      </c>
      <c r="J235" s="2">
        <v>1247</v>
      </c>
      <c r="K235" s="2">
        <v>1339</v>
      </c>
      <c r="L235" s="2">
        <v>1061</v>
      </c>
      <c r="M235" s="2">
        <v>22688</v>
      </c>
      <c r="N235" s="2">
        <v>1600</v>
      </c>
      <c r="O235" s="2">
        <v>426</v>
      </c>
      <c r="P235" s="2">
        <v>166</v>
      </c>
      <c r="Q235" s="2">
        <v>225</v>
      </c>
      <c r="R235" s="2">
        <v>89</v>
      </c>
    </row>
    <row r="236" spans="1:18" ht="9.75" customHeight="1">
      <c r="A236" s="3" t="s">
        <v>104</v>
      </c>
      <c r="C236" s="2">
        <v>1687</v>
      </c>
      <c r="D236" s="2">
        <v>10977</v>
      </c>
      <c r="E236" s="2">
        <v>502</v>
      </c>
      <c r="F236" s="2">
        <v>12816</v>
      </c>
      <c r="G236" s="2">
        <v>791</v>
      </c>
      <c r="H236" s="2">
        <v>797</v>
      </c>
      <c r="I236" s="2">
        <v>445</v>
      </c>
      <c r="J236" s="2">
        <v>1247</v>
      </c>
      <c r="K236" s="2">
        <v>1339</v>
      </c>
      <c r="L236" s="2">
        <v>1061</v>
      </c>
      <c r="M236" s="2">
        <v>22688</v>
      </c>
      <c r="N236" s="2">
        <v>1600</v>
      </c>
      <c r="O236" s="2">
        <v>426</v>
      </c>
      <c r="P236" s="2">
        <v>166</v>
      </c>
      <c r="Q236" s="2">
        <v>225</v>
      </c>
      <c r="R236" s="2">
        <v>89</v>
      </c>
    </row>
    <row r="237" spans="2:18" s="4" customFormat="1" ht="9.75" customHeight="1">
      <c r="B237" s="6" t="s">
        <v>105</v>
      </c>
      <c r="C237" s="4">
        <f aca="true" t="shared" si="33" ref="C237:J237">C236/29262</f>
        <v>0.057651561752443445</v>
      </c>
      <c r="D237" s="4">
        <f t="shared" si="33"/>
        <v>0.37512815255279885</v>
      </c>
      <c r="E237" s="4">
        <f t="shared" si="33"/>
        <v>0.01715535506800629</v>
      </c>
      <c r="F237" s="4">
        <f t="shared" si="33"/>
        <v>0.43797416444535575</v>
      </c>
      <c r="G237" s="4">
        <f t="shared" si="33"/>
        <v>0.027031645137037798</v>
      </c>
      <c r="H237" s="4">
        <f t="shared" si="33"/>
        <v>0.02723668922151596</v>
      </c>
      <c r="I237" s="4">
        <f t="shared" si="33"/>
        <v>0.01520743626546374</v>
      </c>
      <c r="J237" s="4">
        <f t="shared" si="33"/>
        <v>0.04261499555737817</v>
      </c>
      <c r="K237" s="4">
        <f>K236/26688</f>
        <v>0.05017236211031175</v>
      </c>
      <c r="L237" s="4">
        <f>L236/26688</f>
        <v>0.03975569544364509</v>
      </c>
      <c r="M237" s="4">
        <f>M236/26688</f>
        <v>0.8501199040767387</v>
      </c>
      <c r="N237" s="4">
        <f>N236/26688</f>
        <v>0.05995203836930456</v>
      </c>
      <c r="O237" s="4">
        <f>O236/426</f>
        <v>1</v>
      </c>
      <c r="P237" s="4">
        <f>P236/166</f>
        <v>1</v>
      </c>
      <c r="Q237" s="4">
        <f>Q236/225</f>
        <v>1</v>
      </c>
      <c r="R237" s="4">
        <f>R236/89</f>
        <v>1</v>
      </c>
    </row>
    <row r="238" spans="2:18" ht="4.5" customHeight="1"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9.75" customHeight="1">
      <c r="A239" s="3" t="s">
        <v>96</v>
      </c>
      <c r="B239" s="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2:18" ht="9.75" customHeight="1">
      <c r="B240" s="5" t="s">
        <v>88</v>
      </c>
      <c r="C240" s="2">
        <v>1195</v>
      </c>
      <c r="D240" s="2">
        <v>21324</v>
      </c>
      <c r="E240" s="2">
        <v>823</v>
      </c>
      <c r="F240" s="2">
        <v>18590</v>
      </c>
      <c r="G240" s="2">
        <v>530</v>
      </c>
      <c r="H240" s="2">
        <v>712</v>
      </c>
      <c r="I240" s="2">
        <v>513</v>
      </c>
      <c r="J240" s="2">
        <v>963</v>
      </c>
      <c r="K240" s="2">
        <v>2117</v>
      </c>
      <c r="L240" s="2">
        <v>2050</v>
      </c>
      <c r="M240" s="2">
        <v>71641</v>
      </c>
      <c r="N240" s="2">
        <v>2273</v>
      </c>
      <c r="O240" s="2">
        <v>706</v>
      </c>
      <c r="P240" s="2">
        <v>420</v>
      </c>
      <c r="Q240" s="2">
        <v>601</v>
      </c>
      <c r="R240" s="2">
        <v>61</v>
      </c>
    </row>
    <row r="241" spans="1:18" ht="9.75" customHeight="1">
      <c r="A241" s="3" t="s">
        <v>104</v>
      </c>
      <c r="C241" s="2">
        <v>1195</v>
      </c>
      <c r="D241" s="2">
        <v>21324</v>
      </c>
      <c r="E241" s="2">
        <v>823</v>
      </c>
      <c r="F241" s="2">
        <v>18590</v>
      </c>
      <c r="G241" s="2">
        <v>530</v>
      </c>
      <c r="H241" s="2">
        <v>712</v>
      </c>
      <c r="I241" s="2">
        <v>513</v>
      </c>
      <c r="J241" s="2">
        <v>963</v>
      </c>
      <c r="K241" s="2">
        <v>2117</v>
      </c>
      <c r="L241" s="2">
        <v>2050</v>
      </c>
      <c r="M241" s="2">
        <v>71641</v>
      </c>
      <c r="N241" s="2">
        <v>2273</v>
      </c>
      <c r="O241" s="2">
        <v>706</v>
      </c>
      <c r="P241" s="2">
        <v>420</v>
      </c>
      <c r="Q241" s="2">
        <v>601</v>
      </c>
      <c r="R241" s="2">
        <v>61</v>
      </c>
    </row>
    <row r="242" spans="2:18" s="4" customFormat="1" ht="9.75" customHeight="1">
      <c r="B242" s="6" t="s">
        <v>105</v>
      </c>
      <c r="C242" s="4">
        <f aca="true" t="shared" si="34" ref="C242:J242">C241/44650</f>
        <v>0.026763717805151174</v>
      </c>
      <c r="D242" s="4">
        <f t="shared" si="34"/>
        <v>0.4775811870100784</v>
      </c>
      <c r="E242" s="4">
        <f t="shared" si="34"/>
        <v>0.018432250839865622</v>
      </c>
      <c r="F242" s="4">
        <f t="shared" si="34"/>
        <v>0.4163493840985442</v>
      </c>
      <c r="G242" s="4">
        <f t="shared" si="34"/>
        <v>0.01187010078387458</v>
      </c>
      <c r="H242" s="4">
        <f t="shared" si="34"/>
        <v>0.015946248600223964</v>
      </c>
      <c r="I242" s="4">
        <f t="shared" si="34"/>
        <v>0.01148936170212766</v>
      </c>
      <c r="J242" s="4">
        <f t="shared" si="34"/>
        <v>0.02156774916013438</v>
      </c>
      <c r="K242" s="4">
        <f>K241/78081</f>
        <v>0.027112869968366184</v>
      </c>
      <c r="L242" s="4">
        <f>L241/78081</f>
        <v>0.026254786695867113</v>
      </c>
      <c r="M242" s="4">
        <f>M241/78081</f>
        <v>0.9175215481359101</v>
      </c>
      <c r="N242" s="4">
        <f>N241/78081</f>
        <v>0.02911079519985656</v>
      </c>
      <c r="O242" s="4">
        <f>O241/706</f>
        <v>1</v>
      </c>
      <c r="P242" s="4">
        <f>P241/420</f>
        <v>1</v>
      </c>
      <c r="Q242" s="4">
        <f>Q241/601</f>
        <v>1</v>
      </c>
      <c r="R242" s="4">
        <f>R241/61</f>
        <v>1</v>
      </c>
    </row>
    <row r="243" spans="2:18" ht="4.5" customHeight="1"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9.75" customHeight="1">
      <c r="A244" s="3" t="s">
        <v>98</v>
      </c>
      <c r="B244" s="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2:18" ht="9.75" customHeight="1">
      <c r="B245" s="5" t="s">
        <v>91</v>
      </c>
      <c r="C245" s="2">
        <v>245</v>
      </c>
      <c r="D245" s="2">
        <v>3753</v>
      </c>
      <c r="E245" s="2">
        <v>117</v>
      </c>
      <c r="F245" s="2">
        <v>3325</v>
      </c>
      <c r="G245" s="2">
        <v>130</v>
      </c>
      <c r="H245" s="2">
        <v>96</v>
      </c>
      <c r="I245" s="2">
        <v>129</v>
      </c>
      <c r="J245" s="2">
        <v>162</v>
      </c>
      <c r="K245" s="2">
        <v>500</v>
      </c>
      <c r="L245" s="2">
        <v>484</v>
      </c>
      <c r="M245" s="2">
        <v>15605</v>
      </c>
      <c r="N245" s="2">
        <v>649</v>
      </c>
      <c r="O245" s="2">
        <v>189</v>
      </c>
      <c r="P245" s="2">
        <v>49</v>
      </c>
      <c r="Q245" s="2">
        <v>85</v>
      </c>
      <c r="R245" s="2">
        <v>14</v>
      </c>
    </row>
    <row r="246" spans="2:18" ht="9.75" customHeight="1">
      <c r="B246" s="5" t="s">
        <v>97</v>
      </c>
      <c r="C246" s="2">
        <v>1384</v>
      </c>
      <c r="D246" s="2">
        <v>19474</v>
      </c>
      <c r="E246" s="2">
        <v>651</v>
      </c>
      <c r="F246" s="2">
        <v>17063</v>
      </c>
      <c r="G246" s="2">
        <v>460</v>
      </c>
      <c r="H246" s="2">
        <v>767</v>
      </c>
      <c r="I246" s="2">
        <v>390</v>
      </c>
      <c r="J246" s="2">
        <v>924</v>
      </c>
      <c r="K246" s="2">
        <v>1768</v>
      </c>
      <c r="L246" s="2">
        <v>1647</v>
      </c>
      <c r="M246" s="2">
        <v>69517</v>
      </c>
      <c r="N246" s="2">
        <v>1361</v>
      </c>
      <c r="O246" s="2">
        <v>751</v>
      </c>
      <c r="P246" s="2">
        <v>328</v>
      </c>
      <c r="Q246" s="2">
        <v>525</v>
      </c>
      <c r="R246" s="2">
        <v>43</v>
      </c>
    </row>
    <row r="247" spans="1:18" ht="9.75" customHeight="1">
      <c r="A247" s="3" t="s">
        <v>104</v>
      </c>
      <c r="C247" s="2">
        <v>1629</v>
      </c>
      <c r="D247" s="2">
        <v>23227</v>
      </c>
      <c r="E247" s="2">
        <v>768</v>
      </c>
      <c r="F247" s="2">
        <v>20388</v>
      </c>
      <c r="G247" s="2">
        <v>590</v>
      </c>
      <c r="H247" s="2">
        <v>863</v>
      </c>
      <c r="I247" s="2">
        <v>519</v>
      </c>
      <c r="J247" s="2">
        <v>1086</v>
      </c>
      <c r="K247" s="2">
        <v>2268</v>
      </c>
      <c r="L247" s="2">
        <v>2131</v>
      </c>
      <c r="M247" s="2">
        <v>85122</v>
      </c>
      <c r="N247" s="2">
        <v>2010</v>
      </c>
      <c r="O247" s="2">
        <v>940</v>
      </c>
      <c r="P247" s="2">
        <v>377</v>
      </c>
      <c r="Q247" s="2">
        <v>610</v>
      </c>
      <c r="R247" s="2">
        <v>57</v>
      </c>
    </row>
    <row r="248" spans="2:18" s="4" customFormat="1" ht="9.75" customHeight="1">
      <c r="B248" s="6" t="s">
        <v>105</v>
      </c>
      <c r="C248" s="4">
        <f aca="true" t="shared" si="35" ref="C248:J248">C247/49070</f>
        <v>0.033197472997758305</v>
      </c>
      <c r="D248" s="4">
        <f t="shared" si="35"/>
        <v>0.47334420216017936</v>
      </c>
      <c r="E248" s="4">
        <f t="shared" si="35"/>
        <v>0.015651110658243327</v>
      </c>
      <c r="F248" s="4">
        <f t="shared" si="35"/>
        <v>0.4154880782555533</v>
      </c>
      <c r="G248" s="4">
        <f t="shared" si="35"/>
        <v>0.012023639698390055</v>
      </c>
      <c r="H248" s="4">
        <f t="shared" si="35"/>
        <v>0.01758712044018749</v>
      </c>
      <c r="I248" s="4">
        <f t="shared" si="35"/>
        <v>0.010576727124515998</v>
      </c>
      <c r="J248" s="4">
        <f t="shared" si="35"/>
        <v>0.022131648665172202</v>
      </c>
      <c r="K248" s="4">
        <f>K247/91531</f>
        <v>0.02477849034753253</v>
      </c>
      <c r="L248" s="4">
        <f>L247/91531</f>
        <v>0.023281729687209797</v>
      </c>
      <c r="M248" s="4">
        <f>M247/91531</f>
        <v>0.9299800067736613</v>
      </c>
      <c r="N248" s="4">
        <f>N247/91531</f>
        <v>0.02195977319159629</v>
      </c>
      <c r="O248" s="4">
        <f>O247/940</f>
        <v>1</v>
      </c>
      <c r="P248" s="4">
        <f>P247/377</f>
        <v>1</v>
      </c>
      <c r="Q248" s="4">
        <f>Q247/610</f>
        <v>1</v>
      </c>
      <c r="R248" s="4">
        <f>R247/57</f>
        <v>1</v>
      </c>
    </row>
    <row r="249" spans="2:18" ht="4.5" customHeight="1">
      <c r="B249" s="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9.75" customHeight="1">
      <c r="A250" s="3" t="s">
        <v>99</v>
      </c>
      <c r="B250" s="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2:18" ht="9.75" customHeight="1">
      <c r="B251" s="5" t="s">
        <v>91</v>
      </c>
      <c r="C251" s="2">
        <v>1399</v>
      </c>
      <c r="D251" s="2">
        <v>21554</v>
      </c>
      <c r="E251" s="2">
        <v>599</v>
      </c>
      <c r="F251" s="2">
        <v>19801</v>
      </c>
      <c r="G251" s="2">
        <v>892</v>
      </c>
      <c r="H251" s="2">
        <v>678</v>
      </c>
      <c r="I251" s="2">
        <v>565</v>
      </c>
      <c r="J251" s="2">
        <v>800</v>
      </c>
      <c r="K251" s="2">
        <v>2019</v>
      </c>
      <c r="L251" s="2">
        <v>1792</v>
      </c>
      <c r="M251" s="2">
        <v>56152</v>
      </c>
      <c r="N251" s="2">
        <v>2125</v>
      </c>
      <c r="O251" s="2">
        <v>830</v>
      </c>
      <c r="P251" s="2">
        <v>223</v>
      </c>
      <c r="Q251" s="2">
        <v>326</v>
      </c>
      <c r="R251" s="2">
        <v>54</v>
      </c>
    </row>
    <row r="252" spans="1:18" ht="9.75" customHeight="1">
      <c r="A252" s="3" t="s">
        <v>104</v>
      </c>
      <c r="C252" s="2">
        <v>1399</v>
      </c>
      <c r="D252" s="2">
        <v>21554</v>
      </c>
      <c r="E252" s="2">
        <v>599</v>
      </c>
      <c r="F252" s="2">
        <v>19801</v>
      </c>
      <c r="G252" s="2">
        <v>892</v>
      </c>
      <c r="H252" s="2">
        <v>678</v>
      </c>
      <c r="I252" s="2">
        <v>565</v>
      </c>
      <c r="J252" s="2">
        <v>800</v>
      </c>
      <c r="K252" s="2">
        <v>2019</v>
      </c>
      <c r="L252" s="2">
        <v>1792</v>
      </c>
      <c r="M252" s="2">
        <v>56152</v>
      </c>
      <c r="N252" s="2">
        <v>2125</v>
      </c>
      <c r="O252" s="2">
        <v>830</v>
      </c>
      <c r="P252" s="2">
        <v>223</v>
      </c>
      <c r="Q252" s="2">
        <v>326</v>
      </c>
      <c r="R252" s="2">
        <v>54</v>
      </c>
    </row>
    <row r="253" spans="2:18" s="4" customFormat="1" ht="9.75" customHeight="1">
      <c r="B253" s="6" t="s">
        <v>105</v>
      </c>
      <c r="C253" s="4">
        <f aca="true" t="shared" si="36" ref="C253:J253">C252/46288</f>
        <v>0.030223816107846527</v>
      </c>
      <c r="D253" s="4">
        <f t="shared" si="36"/>
        <v>0.4656498444521258</v>
      </c>
      <c r="E253" s="4">
        <f t="shared" si="36"/>
        <v>0.01294071897684065</v>
      </c>
      <c r="F253" s="4">
        <f t="shared" si="36"/>
        <v>0.4277782578638092</v>
      </c>
      <c r="G253" s="4">
        <f t="shared" si="36"/>
        <v>0.019270653301071552</v>
      </c>
      <c r="H253" s="4">
        <f t="shared" si="36"/>
        <v>0.01464742481852748</v>
      </c>
      <c r="I253" s="4">
        <f t="shared" si="36"/>
        <v>0.0122061873487729</v>
      </c>
      <c r="J253" s="4">
        <f t="shared" si="36"/>
        <v>0.017283097131005877</v>
      </c>
      <c r="K253" s="4">
        <f>K252/62088</f>
        <v>0.032518361035948976</v>
      </c>
      <c r="L253" s="4">
        <f>L252/62088</f>
        <v>0.02886226001803891</v>
      </c>
      <c r="M253" s="4">
        <f>M252/62088</f>
        <v>0.9043937636902462</v>
      </c>
      <c r="N253" s="4">
        <f>N252/62088</f>
        <v>0.034225615255766006</v>
      </c>
      <c r="O253" s="4">
        <f>O252/830</f>
        <v>1</v>
      </c>
      <c r="P253" s="4">
        <f>P252/223</f>
        <v>1</v>
      </c>
      <c r="Q253" s="4">
        <f>Q252/326</f>
        <v>1</v>
      </c>
      <c r="R253" s="4">
        <f>R252/54</f>
        <v>1</v>
      </c>
    </row>
    <row r="254" spans="2:18" ht="4.5" customHeight="1"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9.75" customHeight="1">
      <c r="A255" s="3" t="s">
        <v>100</v>
      </c>
      <c r="B255" s="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2:18" ht="9.75" customHeight="1">
      <c r="B256" s="5" t="s">
        <v>88</v>
      </c>
      <c r="C256" s="2">
        <v>117</v>
      </c>
      <c r="D256" s="2">
        <v>2002</v>
      </c>
      <c r="E256" s="2">
        <v>50</v>
      </c>
      <c r="F256" s="2">
        <v>1712</v>
      </c>
      <c r="G256" s="2">
        <v>56</v>
      </c>
      <c r="H256" s="2">
        <v>48</v>
      </c>
      <c r="I256" s="2">
        <v>42</v>
      </c>
      <c r="J256" s="2">
        <v>85</v>
      </c>
      <c r="K256" s="2">
        <v>251</v>
      </c>
      <c r="L256" s="2">
        <v>201</v>
      </c>
      <c r="M256" s="2">
        <v>9314</v>
      </c>
      <c r="N256" s="2">
        <v>232</v>
      </c>
      <c r="O256" s="2">
        <v>98</v>
      </c>
      <c r="P256" s="2">
        <v>54</v>
      </c>
      <c r="Q256" s="2">
        <v>68</v>
      </c>
      <c r="R256" s="2">
        <v>4</v>
      </c>
    </row>
    <row r="257" spans="2:18" ht="9.75" customHeight="1">
      <c r="B257" s="5" t="s">
        <v>97</v>
      </c>
      <c r="C257" s="2">
        <v>1583</v>
      </c>
      <c r="D257" s="2">
        <v>25126</v>
      </c>
      <c r="E257" s="2">
        <v>658</v>
      </c>
      <c r="F257" s="2">
        <v>20970</v>
      </c>
      <c r="G257" s="2">
        <v>562</v>
      </c>
      <c r="H257" s="2">
        <v>755</v>
      </c>
      <c r="I257" s="2">
        <v>592</v>
      </c>
      <c r="J257" s="2">
        <v>950</v>
      </c>
      <c r="K257" s="2">
        <v>1771</v>
      </c>
      <c r="L257" s="2">
        <v>1471</v>
      </c>
      <c r="M257" s="2">
        <v>76407</v>
      </c>
      <c r="N257" s="2">
        <v>1628</v>
      </c>
      <c r="O257" s="2">
        <v>844</v>
      </c>
      <c r="P257" s="2">
        <v>581</v>
      </c>
      <c r="Q257" s="2">
        <v>569</v>
      </c>
      <c r="R257" s="2">
        <v>77</v>
      </c>
    </row>
    <row r="258" spans="1:18" ht="9.75" customHeight="1">
      <c r="A258" s="3" t="s">
        <v>104</v>
      </c>
      <c r="C258" s="2">
        <v>1700</v>
      </c>
      <c r="D258" s="2">
        <v>27128</v>
      </c>
      <c r="E258" s="2">
        <v>708</v>
      </c>
      <c r="F258" s="2">
        <v>22682</v>
      </c>
      <c r="G258" s="2">
        <v>618</v>
      </c>
      <c r="H258" s="2">
        <v>803</v>
      </c>
      <c r="I258" s="2">
        <v>634</v>
      </c>
      <c r="J258" s="2">
        <v>1035</v>
      </c>
      <c r="K258" s="2">
        <v>2022</v>
      </c>
      <c r="L258" s="2">
        <v>1672</v>
      </c>
      <c r="M258" s="2">
        <v>85721</v>
      </c>
      <c r="N258" s="2">
        <v>1860</v>
      </c>
      <c r="O258" s="2">
        <v>942</v>
      </c>
      <c r="P258" s="2">
        <v>635</v>
      </c>
      <c r="Q258" s="2">
        <v>637</v>
      </c>
      <c r="R258" s="2">
        <v>81</v>
      </c>
    </row>
    <row r="259" spans="2:18" s="4" customFormat="1" ht="9.75" customHeight="1">
      <c r="B259" s="6" t="s">
        <v>105</v>
      </c>
      <c r="C259" s="4">
        <f aca="true" t="shared" si="37" ref="C259:J259">C258/55308</f>
        <v>0.030736963911188256</v>
      </c>
      <c r="D259" s="4">
        <f t="shared" si="37"/>
        <v>0.4904896217545382</v>
      </c>
      <c r="E259" s="4">
        <f t="shared" si="37"/>
        <v>0.012801041440659579</v>
      </c>
      <c r="F259" s="4">
        <f t="shared" si="37"/>
        <v>0.41010342084327767</v>
      </c>
      <c r="G259" s="4">
        <f t="shared" si="37"/>
        <v>0.011173790410067259</v>
      </c>
      <c r="H259" s="4">
        <f t="shared" si="37"/>
        <v>0.014518695306284805</v>
      </c>
      <c r="I259" s="4">
        <f t="shared" si="37"/>
        <v>0.011463079482172562</v>
      </c>
      <c r="J259" s="4">
        <f t="shared" si="37"/>
        <v>0.018713386851811672</v>
      </c>
      <c r="K259" s="4">
        <f>K258/91275</f>
        <v>0.022152834839769927</v>
      </c>
      <c r="L259" s="4">
        <f>L258/91275</f>
        <v>0.01831826896740619</v>
      </c>
      <c r="M259" s="4">
        <f>M258/91275</f>
        <v>0.9391509175568338</v>
      </c>
      <c r="N259" s="4">
        <f>N258/91275</f>
        <v>0.02037797863599014</v>
      </c>
      <c r="O259" s="4">
        <f>O258/942</f>
        <v>1</v>
      </c>
      <c r="P259" s="4">
        <f>P258/635</f>
        <v>1</v>
      </c>
      <c r="Q259" s="4">
        <f>Q258/637</f>
        <v>1</v>
      </c>
      <c r="R259" s="4">
        <f>R258/81</f>
        <v>1</v>
      </c>
    </row>
    <row r="260" spans="2:18" ht="4.5" customHeight="1">
      <c r="B260" s="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9.75" customHeight="1">
      <c r="A261" s="3" t="s">
        <v>101</v>
      </c>
      <c r="B261" s="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2:18" ht="9.75" customHeight="1">
      <c r="B262" s="5" t="s">
        <v>97</v>
      </c>
      <c r="C262" s="2">
        <v>2241</v>
      </c>
      <c r="D262" s="2">
        <v>33904</v>
      </c>
      <c r="E262" s="2">
        <v>860</v>
      </c>
      <c r="F262" s="2">
        <v>28751</v>
      </c>
      <c r="G262" s="2">
        <v>687</v>
      </c>
      <c r="H262" s="2">
        <v>1308</v>
      </c>
      <c r="I262" s="2">
        <v>534</v>
      </c>
      <c r="J262" s="2">
        <v>1195</v>
      </c>
      <c r="K262" s="2">
        <v>1406</v>
      </c>
      <c r="L262" s="2">
        <v>1300</v>
      </c>
      <c r="M262" s="2">
        <v>51571</v>
      </c>
      <c r="N262" s="2">
        <v>1393</v>
      </c>
      <c r="O262" s="2">
        <v>735</v>
      </c>
      <c r="P262" s="2">
        <v>872</v>
      </c>
      <c r="Q262" s="2">
        <v>681</v>
      </c>
      <c r="R262" s="2">
        <v>101</v>
      </c>
    </row>
    <row r="263" spans="1:18" ht="9.75" customHeight="1">
      <c r="A263" s="3" t="s">
        <v>104</v>
      </c>
      <c r="C263" s="2">
        <v>2241</v>
      </c>
      <c r="D263" s="2">
        <v>33904</v>
      </c>
      <c r="E263" s="2">
        <v>860</v>
      </c>
      <c r="F263" s="2">
        <v>28751</v>
      </c>
      <c r="G263" s="2">
        <v>687</v>
      </c>
      <c r="H263" s="2">
        <v>1308</v>
      </c>
      <c r="I263" s="2">
        <v>534</v>
      </c>
      <c r="J263" s="2">
        <v>1195</v>
      </c>
      <c r="K263" s="2">
        <v>1406</v>
      </c>
      <c r="L263" s="2">
        <v>1300</v>
      </c>
      <c r="M263" s="2">
        <v>51571</v>
      </c>
      <c r="N263" s="2">
        <v>1393</v>
      </c>
      <c r="O263" s="2">
        <v>735</v>
      </c>
      <c r="P263" s="2">
        <v>872</v>
      </c>
      <c r="Q263" s="2">
        <v>681</v>
      </c>
      <c r="R263" s="2">
        <v>101</v>
      </c>
    </row>
    <row r="264" spans="2:18" s="4" customFormat="1" ht="9.75" customHeight="1">
      <c r="B264" s="6" t="s">
        <v>105</v>
      </c>
      <c r="C264" s="4">
        <f aca="true" t="shared" si="38" ref="C264:J264">C263/69480</f>
        <v>0.03225388601036269</v>
      </c>
      <c r="D264" s="4">
        <f t="shared" si="38"/>
        <v>0.4879677605066206</v>
      </c>
      <c r="E264" s="4">
        <f t="shared" si="38"/>
        <v>0.012377662636729994</v>
      </c>
      <c r="F264" s="4">
        <f t="shared" si="38"/>
        <v>0.41380253310305126</v>
      </c>
      <c r="G264" s="4">
        <f t="shared" si="38"/>
        <v>0.009887737478411053</v>
      </c>
      <c r="H264" s="4">
        <f t="shared" si="38"/>
        <v>0.018825561312607944</v>
      </c>
      <c r="I264" s="4">
        <f t="shared" si="38"/>
        <v>0.00768566493955095</v>
      </c>
      <c r="J264" s="4">
        <f t="shared" si="38"/>
        <v>0.017199194012665515</v>
      </c>
      <c r="K264" s="4">
        <f>K263/55670</f>
        <v>0.025255972696245733</v>
      </c>
      <c r="L264" s="4">
        <f>L263/55670</f>
        <v>0.02335189509610203</v>
      </c>
      <c r="M264" s="4">
        <f>M263/55670</f>
        <v>0.9263696784623675</v>
      </c>
      <c r="N264" s="4">
        <f>N263/55670</f>
        <v>0.025022453745284712</v>
      </c>
      <c r="O264" s="4">
        <f>O263/735</f>
        <v>1</v>
      </c>
      <c r="P264" s="4">
        <f>P263/872</f>
        <v>1</v>
      </c>
      <c r="Q264" s="4">
        <f>Q263/681</f>
        <v>1</v>
      </c>
      <c r="R264" s="4">
        <f>R263/101</f>
        <v>1</v>
      </c>
    </row>
    <row r="265" spans="2:18" ht="4.5" customHeight="1">
      <c r="B265" s="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9.75" customHeight="1">
      <c r="A266" s="3" t="s">
        <v>103</v>
      </c>
      <c r="B266" s="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2:18" ht="9.75" customHeight="1">
      <c r="B267" s="5" t="s">
        <v>102</v>
      </c>
      <c r="C267" s="2">
        <v>606</v>
      </c>
      <c r="D267" s="2">
        <v>3923</v>
      </c>
      <c r="E267" s="2">
        <v>180</v>
      </c>
      <c r="F267" s="2">
        <v>2639</v>
      </c>
      <c r="G267" s="2">
        <v>1011</v>
      </c>
      <c r="H267" s="2">
        <v>210</v>
      </c>
      <c r="I267" s="2">
        <v>273</v>
      </c>
      <c r="J267" s="2">
        <v>467</v>
      </c>
      <c r="K267" s="2">
        <v>309</v>
      </c>
      <c r="L267" s="2">
        <v>254</v>
      </c>
      <c r="M267" s="2">
        <v>4928</v>
      </c>
      <c r="N267" s="2">
        <v>452</v>
      </c>
      <c r="O267" s="2">
        <v>137</v>
      </c>
      <c r="P267" s="2">
        <v>21</v>
      </c>
      <c r="Q267" s="2">
        <v>16</v>
      </c>
      <c r="R267" s="2">
        <v>21</v>
      </c>
    </row>
    <row r="268" spans="2:18" ht="9.75" customHeight="1">
      <c r="B268" s="5" t="s">
        <v>91</v>
      </c>
      <c r="C268" s="2">
        <v>233</v>
      </c>
      <c r="D268" s="2">
        <v>3179</v>
      </c>
      <c r="E268" s="2">
        <v>66</v>
      </c>
      <c r="F268" s="2">
        <v>2503</v>
      </c>
      <c r="G268" s="2">
        <v>354</v>
      </c>
      <c r="H268" s="2">
        <v>107</v>
      </c>
      <c r="I268" s="2">
        <v>87</v>
      </c>
      <c r="J268" s="2">
        <v>165</v>
      </c>
      <c r="K268" s="2">
        <v>203</v>
      </c>
      <c r="L268" s="2">
        <v>202</v>
      </c>
      <c r="M268" s="2">
        <v>4886</v>
      </c>
      <c r="N268" s="2">
        <v>253</v>
      </c>
      <c r="O268" s="2">
        <v>81</v>
      </c>
      <c r="P268" s="2">
        <v>19</v>
      </c>
      <c r="Q268" s="2">
        <v>24</v>
      </c>
      <c r="R268" s="2">
        <v>7</v>
      </c>
    </row>
    <row r="269" spans="2:18" ht="9.75" customHeight="1">
      <c r="B269" s="5" t="s">
        <v>97</v>
      </c>
      <c r="C269" s="2">
        <v>1482</v>
      </c>
      <c r="D269" s="2">
        <v>13519</v>
      </c>
      <c r="E269" s="2">
        <v>346</v>
      </c>
      <c r="F269" s="2">
        <v>13163</v>
      </c>
      <c r="G269" s="2">
        <v>820</v>
      </c>
      <c r="H269" s="2">
        <v>613</v>
      </c>
      <c r="I269" s="2">
        <v>333</v>
      </c>
      <c r="J269" s="2">
        <v>854</v>
      </c>
      <c r="K269" s="2">
        <v>667</v>
      </c>
      <c r="L269" s="2">
        <v>955</v>
      </c>
      <c r="M269" s="2">
        <v>18448</v>
      </c>
      <c r="N269" s="2">
        <v>793</v>
      </c>
      <c r="O269" s="2">
        <v>298</v>
      </c>
      <c r="P269" s="2">
        <v>186</v>
      </c>
      <c r="Q269" s="2">
        <v>135</v>
      </c>
      <c r="R269" s="2">
        <v>55</v>
      </c>
    </row>
    <row r="270" spans="1:18" ht="9.75" customHeight="1">
      <c r="A270" s="3" t="s">
        <v>104</v>
      </c>
      <c r="C270" s="2">
        <v>2321</v>
      </c>
      <c r="D270" s="2">
        <v>20621</v>
      </c>
      <c r="E270" s="2">
        <v>592</v>
      </c>
      <c r="F270" s="2">
        <v>18305</v>
      </c>
      <c r="G270" s="2">
        <v>2185</v>
      </c>
      <c r="H270" s="2">
        <v>930</v>
      </c>
      <c r="I270" s="2">
        <v>693</v>
      </c>
      <c r="J270" s="2">
        <v>1486</v>
      </c>
      <c r="K270" s="2">
        <v>1179</v>
      </c>
      <c r="L270" s="2">
        <v>1411</v>
      </c>
      <c r="M270" s="2">
        <v>28262</v>
      </c>
      <c r="N270" s="2">
        <v>1498</v>
      </c>
      <c r="O270" s="2">
        <v>516</v>
      </c>
      <c r="P270" s="2">
        <v>226</v>
      </c>
      <c r="Q270" s="2">
        <v>175</v>
      </c>
      <c r="R270" s="2">
        <v>83</v>
      </c>
    </row>
    <row r="271" spans="2:18" s="4" customFormat="1" ht="9.75" customHeight="1">
      <c r="B271" s="6" t="s">
        <v>105</v>
      </c>
      <c r="C271" s="4">
        <f aca="true" t="shared" si="39" ref="C271:J271">C270/47133</f>
        <v>0.04924362972864023</v>
      </c>
      <c r="D271" s="4">
        <f t="shared" si="39"/>
        <v>0.43750663017418795</v>
      </c>
      <c r="E271" s="4">
        <f t="shared" si="39"/>
        <v>0.01256020198162646</v>
      </c>
      <c r="F271" s="4">
        <f t="shared" si="39"/>
        <v>0.3883690832325547</v>
      </c>
      <c r="G271" s="4">
        <f t="shared" si="39"/>
        <v>0.04635817792205037</v>
      </c>
      <c r="H271" s="4">
        <f t="shared" si="39"/>
        <v>0.019731398383298324</v>
      </c>
      <c r="I271" s="4">
        <f t="shared" si="39"/>
        <v>0.014703074279167462</v>
      </c>
      <c r="J271" s="4">
        <f t="shared" si="39"/>
        <v>0.03152780429847453</v>
      </c>
      <c r="K271" s="4">
        <f>K270/32350</f>
        <v>0.0364451313755796</v>
      </c>
      <c r="L271" s="4">
        <f>L270/32350</f>
        <v>0.04361669242658423</v>
      </c>
      <c r="M271" s="4">
        <f>M270/32350</f>
        <v>0.8736321483771252</v>
      </c>
      <c r="N271" s="4">
        <f>N270/32350</f>
        <v>0.04630602782071097</v>
      </c>
      <c r="O271" s="4">
        <f>O270/516</f>
        <v>1</v>
      </c>
      <c r="P271" s="4">
        <f>P270/226</f>
        <v>1</v>
      </c>
      <c r="Q271" s="4">
        <f>Q270/175</f>
        <v>1</v>
      </c>
      <c r="R271" s="4">
        <f>R270/83</f>
        <v>1</v>
      </c>
    </row>
    <row r="272" spans="2:18" ht="4.5" customHeight="1">
      <c r="B272" s="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2:18" ht="9">
      <c r="B273" s="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</sheetData>
  <printOptions/>
  <pageMargins left="0.65" right="0.65" top="1" bottom="0.8" header="0.3" footer="0.3"/>
  <pageSetup firstPageNumber="63" useFirstPageNumber="1" fitToHeight="0" fitToWidth="0" horizontalDpi="600" verticalDpi="600" orientation="portrait" scale="93" r:id="rId1"/>
  <headerFooter alignWithMargins="0">
    <oddHeader>&amp;C&amp;"Arial,Bold"&amp;11Supplement to the Statement of Vote
Counties by Senate Districts
for Governor</oddHeader>
    <oddFooter>&amp;C&amp;"Arial,Bold"&amp;8&amp;P</oddFoot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2006-11-10T20:52:22Z</cp:lastPrinted>
  <dcterms:created xsi:type="dcterms:W3CDTF">2006-11-10T20:55:24Z</dcterms:created>
  <dcterms:modified xsi:type="dcterms:W3CDTF">2006-11-10T20:55:24Z</dcterms:modified>
  <cp:category/>
  <cp:version/>
  <cp:contentType/>
  <cp:contentStatus/>
</cp:coreProperties>
</file>