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'Sheet1'!$A$1:$L$335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<sst xmlns="http://schemas.openxmlformats.org/spreadsheetml/2006/main" count="299" uniqueCount="129">
  <si>
    <t>DEM</t>
  </si>
  <si>
    <t>REP</t>
  </si>
  <si>
    <t>AI</t>
  </si>
  <si>
    <t>GRN</t>
  </si>
  <si>
    <t>LIB</t>
  </si>
  <si>
    <t>PF</t>
  </si>
  <si>
    <t>Del Norte</t>
  </si>
  <si>
    <t>Humboldt</t>
  </si>
  <si>
    <t>Lake</t>
  </si>
  <si>
    <t>Mendocino</t>
  </si>
  <si>
    <t>Napa</t>
  </si>
  <si>
    <t>Sonoma</t>
  </si>
  <si>
    <t>Yolo</t>
  </si>
  <si>
    <t>Congressional District 1 (2000)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</si>
  <si>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</si>
  <si>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</si>
  <si>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</si>
  <si>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</si>
  <si>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</si>
  <si>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</si>
  <si>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</si>
  <si>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</si>
  <si>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</si>
  <si>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Congressional District 2 (2000)</t>
  </si>
  <si>
    <t>Alpine</t>
  </si>
  <si>
    <t>Amador</t>
  </si>
  <si>
    <t>Calaveras</t>
  </si>
  <si>
    <t>Sacramento</t>
  </si>
  <si>
    <t>Solano</t>
  </si>
  <si>
    <t>Congressional District 3 (2000)</t>
  </si>
  <si>
    <t>El Dorado</t>
  </si>
  <si>
    <t>Lassen</t>
  </si>
  <si>
    <t>Modoc</t>
  </si>
  <si>
    <t>Nevada</t>
  </si>
  <si>
    <t>Placer</t>
  </si>
  <si>
    <t>Plumas</t>
  </si>
  <si>
    <t>Sierra</t>
  </si>
  <si>
    <t>Congressional District 4 (2000)</t>
  </si>
  <si>
    <t>Congressional District 5 (2000)</t>
  </si>
  <si>
    <t>Marin</t>
  </si>
  <si>
    <t>Congressional District 6 (2000)</t>
  </si>
  <si>
    <t>Contra Costa</t>
  </si>
  <si>
    <t>Congressional District 7 (2000)</t>
  </si>
  <si>
    <t>San Francisco</t>
  </si>
  <si>
    <t>Congressional District 8 (2000)</t>
  </si>
  <si>
    <t>Alameda</t>
  </si>
  <si>
    <t>Congressional District 9 (2000)</t>
  </si>
  <si>
    <t>Congressional District 10 (2000)</t>
  </si>
  <si>
    <t>San Joaquin</t>
  </si>
  <si>
    <t>Santa Clara</t>
  </si>
  <si>
    <t>Congressional District 11 (2000)</t>
  </si>
  <si>
    <t>San Mateo</t>
  </si>
  <si>
    <t>Congressional District 12 (2000)</t>
  </si>
  <si>
    <t>Congressional District 13 (2000)</t>
  </si>
  <si>
    <t>Santa Cruz</t>
  </si>
  <si>
    <t>Congressional District 14 (2000)</t>
  </si>
  <si>
    <t>Congressional District 15 (2000)</t>
  </si>
  <si>
    <t>Congressional District 16 (2000)</t>
  </si>
  <si>
    <t>Monterey</t>
  </si>
  <si>
    <t>San Benito</t>
  </si>
  <si>
    <t>Congressional District 17 (2000)</t>
  </si>
  <si>
    <t>Fresno</t>
  </si>
  <si>
    <t>Madera</t>
  </si>
  <si>
    <t>Merced</t>
  </si>
  <si>
    <t>Stanislaus</t>
  </si>
  <si>
    <t>Congressional District 18 (2000)</t>
  </si>
  <si>
    <t>Mariposa</t>
  </si>
  <si>
    <t>Tuolumne</t>
  </si>
  <si>
    <t>Congressional District 19 (2000)</t>
  </si>
  <si>
    <t>Kern</t>
  </si>
  <si>
    <t>Kings</t>
  </si>
  <si>
    <t>Congressional District 20 (2000)</t>
  </si>
  <si>
    <t>Tulare</t>
  </si>
  <si>
    <t>Congressional District 21 (2000)</t>
  </si>
  <si>
    <t>Los Angeles</t>
  </si>
  <si>
    <t>San Luis Obispo</t>
  </si>
  <si>
    <t>Congressional District 22 (2000)</t>
  </si>
  <si>
    <t>Santa Barbara</t>
  </si>
  <si>
    <t>Ventura</t>
  </si>
  <si>
    <t>Congressional District 23 (2000)</t>
  </si>
  <si>
    <t>Congressional District 24 (2000)</t>
  </si>
  <si>
    <t>Inyo</t>
  </si>
  <si>
    <t>Mono</t>
  </si>
  <si>
    <t>San Bernardino</t>
  </si>
  <si>
    <t>Congressional District 25 (2000)</t>
  </si>
  <si>
    <t>Congressional District 26 (2000)</t>
  </si>
  <si>
    <t>Congressional District 27 (2000)</t>
  </si>
  <si>
    <t>Congressional District 28 (2000)</t>
  </si>
  <si>
    <t>Congressional District 29 (2000)</t>
  </si>
  <si>
    <t>Congressional District 30 (2000)</t>
  </si>
  <si>
    <t>Congressional District 31 (2000)</t>
  </si>
  <si>
    <t>Congressional District 32 (2000)</t>
  </si>
  <si>
    <t>Congressional District 33 (2000)</t>
  </si>
  <si>
    <t>Congressional District 34 (2000)</t>
  </si>
  <si>
    <t>Congressional District 35 (2000)</t>
  </si>
  <si>
    <t>Congressional District 36 (2000)</t>
  </si>
  <si>
    <t>Congressional District 37 (2000)</t>
  </si>
  <si>
    <t>Congressional District 38 (2000)</t>
  </si>
  <si>
    <t>Congressional District 39 (2000)</t>
  </si>
  <si>
    <t>Orange</t>
  </si>
  <si>
    <t>Congressional District 40 (2000)</t>
  </si>
  <si>
    <t>Riverside</t>
  </si>
  <si>
    <t>Congressional District 41 (2000)</t>
  </si>
  <si>
    <t>Congressional District 42 (2000)</t>
  </si>
  <si>
    <t>Congressional District 43 (2000)</t>
  </si>
  <si>
    <t>Congressional District 44 (2000)</t>
  </si>
  <si>
    <t>Congressional District 45 (2000)</t>
  </si>
  <si>
    <t>Congressional District 46 (2000)</t>
  </si>
  <si>
    <t>Congressional District 47 (2000)</t>
  </si>
  <si>
    <t>Congressional District 48 (2000)</t>
  </si>
  <si>
    <t>San Diego</t>
  </si>
  <si>
    <t>Congressional District 49 (2000)</t>
  </si>
  <si>
    <t>Congressional District 50 (2000)</t>
  </si>
  <si>
    <t>Imperial</t>
  </si>
  <si>
    <t>Congressional District 51 (2000)</t>
  </si>
  <si>
    <t>Congressional District 52 (2000)</t>
  </si>
  <si>
    <t>Congressional District 53 (2000)</t>
  </si>
  <si>
    <t>District Totals</t>
  </si>
  <si>
    <t>Percent, Total by Party</t>
  </si>
  <si>
    <t>Dianne 
Feinstein</t>
  </si>
  <si>
    <t>Martin Luther 
Church</t>
  </si>
  <si>
    <t>Colleen 
Fernald</t>
  </si>
  <si>
    <t>Richard "Dick" 
Mountjoy</t>
  </si>
  <si>
    <t>Don J. 
Grundmann</t>
  </si>
  <si>
    <t>Todd 
Chretien</t>
  </si>
  <si>
    <t>Tian 
Harter</t>
  </si>
  <si>
    <t>Kent P. 
Mesplay</t>
  </si>
  <si>
    <t>Michael S. 
Metti</t>
  </si>
  <si>
    <t>Marsha 
Feinland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</si>
</sst>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showOutlineSymbols="0" zoomScaleSheetLayoutView="100" workbookViewId="0" topLeftCell="A202">
      <selection activeCell="A286" sqref="A286:IV286"/>
    </sheetView>
  </sheetViews>
  <sheetFormatPr defaultColWidth="9.140625" defaultRowHeight="12.75" customHeight="1"/>
  <cols>
    <col min="1" max="1" width="2.7109375" style="1" customWidth="1"/>
    <col min="2" max="2" width="18.7109375" style="5" customWidth="1"/>
    <col min="3" max="3" width="8.140625" style="1" customWidth="1"/>
    <col min="4" max="4" width="6.421875" style="1" customWidth="1"/>
    <col min="5" max="5" width="6.7109375" style="1" customWidth="1"/>
    <col min="6" max="6" width="8.140625" style="1" customWidth="1"/>
    <col min="7" max="7" width="10.00390625" style="1" customWidth="1"/>
    <col min="8" max="8" width="7.8515625" style="1" customWidth="1"/>
    <col min="9" max="9" width="5.57421875" style="1" customWidth="1"/>
    <col min="10" max="10" width="7.28125" style="1" customWidth="1"/>
    <col min="11" max="11" width="8.7109375" style="1" customWidth="1"/>
    <col min="12" max="12" width="7.28125" style="1" customWidth="1"/>
    <col min="13" max="16384" width="7.7109375" style="1" customWidth="1"/>
  </cols>
  <sheetData>
    <row r="1" spans="3:12" s="12" customFormat="1" ht="45">
      <c r="C1" s="12" t="s">
        <v>119</v>
      </c>
      <c r="D1" s="12" t="s">
        <v>120</v>
      </c>
      <c r="E1" s="12" t="s">
        <v>121</v>
      </c>
      <c r="F1" s="12" t="s">
        <v>122</v>
      </c>
      <c r="G1" s="12" t="s">
        <v>123</v>
      </c>
      <c r="H1" s="12" t="s">
        <v>124</v>
      </c>
      <c r="I1" s="12" t="s">
        <v>125</v>
      </c>
      <c r="J1" s="12" t="s">
        <v>126</v>
      </c>
      <c r="K1" s="12" t="s">
        <v>127</v>
      </c>
      <c r="L1" s="12" t="s">
        <v>128</v>
      </c>
    </row>
    <row r="2" spans="3:12" s="11" customFormat="1" ht="9">
      <c r="C2" s="11" t="s">
        <v>0</v>
      </c>
      <c r="D2" s="11" t="s">
        <v>0</v>
      </c>
      <c r="E2" s="11" t="s">
        <v>0</v>
      </c>
      <c r="F2" s="11" t="s">
        <v>1</v>
      </c>
      <c r="G2" s="11" t="s">
        <v>2</v>
      </c>
      <c r="H2" s="11" t="s">
        <v>3</v>
      </c>
      <c r="I2" s="11" t="s">
        <v>3</v>
      </c>
      <c r="J2" s="11" t="s">
        <v>3</v>
      </c>
      <c r="K2" s="11" t="s">
        <v>4</v>
      </c>
      <c r="L2" s="11" t="s">
        <v>5</v>
      </c>
    </row>
    <row r="3" spans="1:2" s="10" customFormat="1" ht="9.75" customHeight="1">
      <c r="A3" s="8" t="s">
        <v>13</v>
      </c>
      <c r="B3" s="9"/>
    </row>
    <row r="4" spans="2:12" ht="9.75" customHeight="1">
      <c r="B4" s="5" t="s">
        <v>6</v>
      </c>
      <c r="C4" s="2">
        <v>1984</v>
      </c>
      <c r="D4" s="2">
        <v>188</v>
      </c>
      <c r="E4" s="2">
        <v>249</v>
      </c>
      <c r="F4" s="2">
        <v>2129</v>
      </c>
      <c r="G4" s="2">
        <v>67</v>
      </c>
      <c r="H4" s="2">
        <v>14</v>
      </c>
      <c r="I4" s="2">
        <v>15</v>
      </c>
      <c r="J4" s="2">
        <v>3</v>
      </c>
      <c r="K4" s="2">
        <v>31</v>
      </c>
      <c r="L4" s="2">
        <v>3</v>
      </c>
    </row>
    <row r="5" spans="2:12" ht="9.75" customHeight="1">
      <c r="B5" s="5" t="s">
        <v>7</v>
      </c>
      <c r="C5" s="2">
        <v>15282</v>
      </c>
      <c r="D5" s="2">
        <v>1083</v>
      </c>
      <c r="E5" s="2">
        <v>2242</v>
      </c>
      <c r="F5" s="2">
        <v>9525</v>
      </c>
      <c r="G5" s="2">
        <v>316</v>
      </c>
      <c r="H5" s="2">
        <v>507</v>
      </c>
      <c r="I5" s="2">
        <v>639</v>
      </c>
      <c r="J5" s="2">
        <v>125</v>
      </c>
      <c r="K5" s="2">
        <v>242</v>
      </c>
      <c r="L5" s="2">
        <v>57</v>
      </c>
    </row>
    <row r="6" spans="2:12" ht="9.75" customHeight="1">
      <c r="B6" s="5" t="s">
        <v>8</v>
      </c>
      <c r="C6" s="2">
        <v>5526</v>
      </c>
      <c r="D6" s="2">
        <v>414</v>
      </c>
      <c r="E6" s="2">
        <v>673</v>
      </c>
      <c r="F6" s="2">
        <v>4088</v>
      </c>
      <c r="G6" s="2">
        <v>173</v>
      </c>
      <c r="H6" s="2">
        <v>55</v>
      </c>
      <c r="I6" s="2">
        <v>53</v>
      </c>
      <c r="J6" s="2">
        <v>13</v>
      </c>
      <c r="K6" s="2">
        <v>51</v>
      </c>
      <c r="L6" s="2">
        <v>8</v>
      </c>
    </row>
    <row r="7" spans="2:12" ht="9.75" customHeight="1">
      <c r="B7" s="5" t="s">
        <v>9</v>
      </c>
      <c r="C7" s="2">
        <v>10224</v>
      </c>
      <c r="D7" s="2">
        <v>601</v>
      </c>
      <c r="E7" s="2">
        <v>1274</v>
      </c>
      <c r="F7" s="2">
        <v>4937</v>
      </c>
      <c r="G7" s="2">
        <v>194</v>
      </c>
      <c r="H7" s="2">
        <v>244</v>
      </c>
      <c r="I7" s="2">
        <v>272</v>
      </c>
      <c r="J7" s="2">
        <v>59</v>
      </c>
      <c r="K7" s="2">
        <v>120</v>
      </c>
      <c r="L7" s="2">
        <v>43</v>
      </c>
    </row>
    <row r="8" spans="2:12" ht="9.75" customHeight="1">
      <c r="B8" s="5" t="s">
        <v>10</v>
      </c>
      <c r="C8" s="2">
        <v>14115</v>
      </c>
      <c r="D8" s="2">
        <v>778</v>
      </c>
      <c r="E8" s="2">
        <v>1022</v>
      </c>
      <c r="F8" s="2">
        <v>8637</v>
      </c>
      <c r="G8" s="2">
        <v>246</v>
      </c>
      <c r="H8" s="2">
        <v>110</v>
      </c>
      <c r="I8" s="2">
        <v>94</v>
      </c>
      <c r="J8" s="2">
        <v>37</v>
      </c>
      <c r="K8" s="2">
        <v>115</v>
      </c>
      <c r="L8" s="2">
        <v>12</v>
      </c>
    </row>
    <row r="9" spans="2:12" ht="9.75" customHeight="1">
      <c r="B9" s="5" t="s">
        <v>11</v>
      </c>
      <c r="C9" s="2">
        <v>10029</v>
      </c>
      <c r="D9" s="2">
        <v>481</v>
      </c>
      <c r="E9" s="2">
        <v>839</v>
      </c>
      <c r="F9" s="2">
        <v>5106</v>
      </c>
      <c r="G9" s="2">
        <v>195</v>
      </c>
      <c r="H9" s="2">
        <v>66</v>
      </c>
      <c r="I9" s="2">
        <v>97</v>
      </c>
      <c r="J9" s="2">
        <v>28</v>
      </c>
      <c r="K9" s="2">
        <v>89</v>
      </c>
      <c r="L9" s="2">
        <v>17</v>
      </c>
    </row>
    <row r="10" spans="2:12" ht="9.75" customHeight="1">
      <c r="B10" s="5" t="s">
        <v>12</v>
      </c>
      <c r="C10" s="2">
        <v>15693</v>
      </c>
      <c r="D10" s="2">
        <v>539</v>
      </c>
      <c r="E10" s="2">
        <v>1305</v>
      </c>
      <c r="F10" s="2">
        <v>6799</v>
      </c>
      <c r="G10" s="2">
        <v>178</v>
      </c>
      <c r="H10" s="2">
        <v>113</v>
      </c>
      <c r="I10" s="2">
        <v>161</v>
      </c>
      <c r="J10" s="2">
        <v>58</v>
      </c>
      <c r="K10" s="2">
        <v>79</v>
      </c>
      <c r="L10" s="2">
        <v>35</v>
      </c>
    </row>
    <row r="11" spans="1:12" ht="9.75" customHeight="1">
      <c r="A11" s="3" t="s">
        <v>117</v>
      </c>
      <c r="C11" s="2">
        <v>72853</v>
      </c>
      <c r="D11" s="2">
        <v>4084</v>
      </c>
      <c r="E11" s="2">
        <v>7604</v>
      </c>
      <c r="F11" s="2">
        <v>41221</v>
      </c>
      <c r="G11" s="2">
        <v>1369</v>
      </c>
      <c r="H11" s="2">
        <v>1109</v>
      </c>
      <c r="I11" s="2">
        <v>1331</v>
      </c>
      <c r="J11" s="2">
        <v>323</v>
      </c>
      <c r="K11" s="2">
        <v>727</v>
      </c>
      <c r="L11" s="2">
        <v>175</v>
      </c>
    </row>
    <row r="12" spans="2:12" s="4" customFormat="1" ht="9.75" customHeight="1">
      <c r="B12" s="6" t="s">
        <v>118</v>
      </c>
      <c r="C12" s="4">
        <f>C11/84541</f>
        <v>0.8617475544410405</v>
      </c>
      <c r="D12" s="4">
        <f>D11/84541</f>
        <v>0.048307921600170334</v>
      </c>
      <c r="E12" s="4">
        <f>E11/84541</f>
        <v>0.08994452395878923</v>
      </c>
      <c r="F12" s="4">
        <f>F11/41221</f>
        <v>1</v>
      </c>
      <c r="G12" s="4">
        <f>G11/1369</f>
        <v>1</v>
      </c>
      <c r="H12" s="4">
        <f>H11/2763</f>
        <v>0.40137531668476295</v>
      </c>
      <c r="I12" s="4">
        <f>I11/2763</f>
        <v>0.48172276511038725</v>
      </c>
      <c r="J12" s="4">
        <f>J11/2763</f>
        <v>0.1169019182048498</v>
      </c>
      <c r="K12" s="4">
        <f>K11/727</f>
        <v>1</v>
      </c>
      <c r="L12" s="4">
        <f>L11/175</f>
        <v>1</v>
      </c>
    </row>
    <row r="13" spans="2:12" ht="4.5" customHeight="1"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9.75" customHeight="1">
      <c r="A14" s="3" t="s">
        <v>23</v>
      </c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9.75" customHeight="1">
      <c r="B15" s="5" t="s">
        <v>14</v>
      </c>
      <c r="C15" s="2">
        <v>12110</v>
      </c>
      <c r="D15" s="2">
        <v>720</v>
      </c>
      <c r="E15" s="2">
        <v>1359</v>
      </c>
      <c r="F15" s="2">
        <v>13809</v>
      </c>
      <c r="G15" s="2">
        <v>243</v>
      </c>
      <c r="H15" s="2">
        <v>132</v>
      </c>
      <c r="I15" s="2">
        <v>185</v>
      </c>
      <c r="J15" s="2">
        <v>75</v>
      </c>
      <c r="K15" s="2">
        <v>145</v>
      </c>
      <c r="L15" s="2">
        <v>34</v>
      </c>
    </row>
    <row r="16" spans="2:12" ht="9.75" customHeight="1">
      <c r="B16" s="5" t="s">
        <v>15</v>
      </c>
      <c r="C16" s="2">
        <v>1125</v>
      </c>
      <c r="D16" s="2">
        <v>104</v>
      </c>
      <c r="E16" s="2">
        <v>175</v>
      </c>
      <c r="F16" s="2">
        <v>1697</v>
      </c>
      <c r="G16" s="2">
        <v>28</v>
      </c>
      <c r="H16" s="2">
        <v>3</v>
      </c>
      <c r="I16" s="2">
        <v>4</v>
      </c>
      <c r="J16" s="2">
        <v>3</v>
      </c>
      <c r="K16" s="2">
        <v>9</v>
      </c>
      <c r="L16" s="2">
        <v>5</v>
      </c>
    </row>
    <row r="17" spans="2:12" ht="9.75" customHeight="1">
      <c r="B17" s="5" t="s">
        <v>16</v>
      </c>
      <c r="C17" s="2">
        <v>1622</v>
      </c>
      <c r="D17" s="2">
        <v>181</v>
      </c>
      <c r="E17" s="2">
        <v>387</v>
      </c>
      <c r="F17" s="2">
        <v>2887</v>
      </c>
      <c r="G17" s="2">
        <v>81</v>
      </c>
      <c r="H17" s="2">
        <v>9</v>
      </c>
      <c r="I17" s="2">
        <v>4</v>
      </c>
      <c r="J17" s="2">
        <v>3</v>
      </c>
      <c r="K17" s="2">
        <v>16</v>
      </c>
      <c r="L17" s="2">
        <v>4</v>
      </c>
    </row>
    <row r="18" spans="2:12" ht="9.75" customHeight="1">
      <c r="B18" s="5" t="s">
        <v>17</v>
      </c>
      <c r="C18" s="2">
        <v>10702</v>
      </c>
      <c r="D18" s="2">
        <v>1103</v>
      </c>
      <c r="E18" s="2">
        <v>2100</v>
      </c>
      <c r="F18" s="2">
        <v>17226</v>
      </c>
      <c r="G18" s="2">
        <v>447</v>
      </c>
      <c r="H18" s="2">
        <v>39</v>
      </c>
      <c r="I18" s="2">
        <v>52</v>
      </c>
      <c r="J18" s="2">
        <v>20</v>
      </c>
      <c r="K18" s="2">
        <v>144</v>
      </c>
      <c r="L18" s="2">
        <v>22</v>
      </c>
    </row>
    <row r="19" spans="2:12" ht="9.75" customHeight="1">
      <c r="B19" s="5" t="s">
        <v>18</v>
      </c>
      <c r="C19" s="2">
        <v>3481</v>
      </c>
      <c r="D19" s="2">
        <v>406</v>
      </c>
      <c r="E19" s="2">
        <v>776</v>
      </c>
      <c r="F19" s="2">
        <v>5033</v>
      </c>
      <c r="G19" s="2">
        <v>130</v>
      </c>
      <c r="H19" s="2">
        <v>23</v>
      </c>
      <c r="I19" s="2">
        <v>21</v>
      </c>
      <c r="J19" s="2">
        <v>10</v>
      </c>
      <c r="K19" s="2">
        <v>74</v>
      </c>
      <c r="L19" s="2">
        <v>8</v>
      </c>
    </row>
    <row r="20" spans="2:12" ht="9.75" customHeight="1">
      <c r="B20" s="5" t="s">
        <v>19</v>
      </c>
      <c r="C20" s="2">
        <v>3784</v>
      </c>
      <c r="D20" s="2">
        <v>358</v>
      </c>
      <c r="E20" s="2">
        <v>618</v>
      </c>
      <c r="F20" s="2">
        <v>6887</v>
      </c>
      <c r="G20" s="2">
        <v>93</v>
      </c>
      <c r="H20" s="2">
        <v>5</v>
      </c>
      <c r="I20" s="2">
        <v>11</v>
      </c>
      <c r="J20" s="2">
        <v>10</v>
      </c>
      <c r="K20" s="2">
        <v>44</v>
      </c>
      <c r="L20" s="2">
        <v>7</v>
      </c>
    </row>
    <row r="21" spans="2:12" ht="9.75" customHeight="1">
      <c r="B21" s="5" t="s">
        <v>20</v>
      </c>
      <c r="C21" s="2">
        <v>3620</v>
      </c>
      <c r="D21" s="2">
        <v>445</v>
      </c>
      <c r="E21" s="2">
        <v>806</v>
      </c>
      <c r="F21" s="2">
        <v>5539</v>
      </c>
      <c r="G21" s="2">
        <v>203</v>
      </c>
      <c r="H21" s="2">
        <v>7</v>
      </c>
      <c r="I21" s="2">
        <v>13</v>
      </c>
      <c r="J21" s="2">
        <v>1</v>
      </c>
      <c r="K21" s="2">
        <v>54</v>
      </c>
      <c r="L21" s="2">
        <v>17</v>
      </c>
    </row>
    <row r="22" spans="2:12" ht="9.75" customHeight="1">
      <c r="B22" s="5" t="s">
        <v>21</v>
      </c>
      <c r="C22" s="2">
        <v>1400</v>
      </c>
      <c r="D22" s="2">
        <v>164</v>
      </c>
      <c r="E22" s="2">
        <v>273</v>
      </c>
      <c r="F22" s="2">
        <v>1464</v>
      </c>
      <c r="G22" s="2">
        <v>64</v>
      </c>
      <c r="H22" s="2">
        <v>16</v>
      </c>
      <c r="I22" s="2">
        <v>23</v>
      </c>
      <c r="J22" s="2">
        <v>3</v>
      </c>
      <c r="K22" s="2">
        <v>31</v>
      </c>
      <c r="L22" s="2">
        <v>7</v>
      </c>
    </row>
    <row r="23" spans="2:12" ht="9.75" customHeight="1">
      <c r="B23" s="5" t="s">
        <v>12</v>
      </c>
      <c r="C23" s="2">
        <v>1759</v>
      </c>
      <c r="D23" s="2">
        <v>127</v>
      </c>
      <c r="E23" s="2">
        <v>229</v>
      </c>
      <c r="F23" s="2">
        <v>2163</v>
      </c>
      <c r="G23" s="2">
        <v>36</v>
      </c>
      <c r="H23" s="2">
        <v>9</v>
      </c>
      <c r="I23" s="2">
        <v>7</v>
      </c>
      <c r="J23" s="2">
        <v>5</v>
      </c>
      <c r="K23" s="2">
        <v>10</v>
      </c>
      <c r="L23" s="2">
        <v>1</v>
      </c>
    </row>
    <row r="24" spans="2:12" ht="9.75" customHeight="1">
      <c r="B24" s="5" t="s">
        <v>22</v>
      </c>
      <c r="C24" s="2">
        <v>2878</v>
      </c>
      <c r="D24" s="2">
        <v>352</v>
      </c>
      <c r="E24" s="2">
        <v>413</v>
      </c>
      <c r="F24" s="2">
        <v>4187</v>
      </c>
      <c r="G24" s="2">
        <v>136</v>
      </c>
      <c r="H24" s="2">
        <v>10</v>
      </c>
      <c r="I24" s="2">
        <v>17</v>
      </c>
      <c r="J24" s="2">
        <v>11</v>
      </c>
      <c r="K24" s="2">
        <v>48</v>
      </c>
      <c r="L24" s="2">
        <v>7</v>
      </c>
    </row>
    <row r="25" spans="1:12" ht="9.75" customHeight="1">
      <c r="A25" s="3" t="s">
        <v>117</v>
      </c>
      <c r="C25" s="2">
        <v>42481</v>
      </c>
      <c r="D25" s="2">
        <v>3960</v>
      </c>
      <c r="E25" s="2">
        <v>7136</v>
      </c>
      <c r="F25" s="2">
        <v>60892</v>
      </c>
      <c r="G25" s="2">
        <v>1461</v>
      </c>
      <c r="H25" s="2">
        <v>253</v>
      </c>
      <c r="I25" s="2">
        <v>337</v>
      </c>
      <c r="J25" s="2">
        <v>141</v>
      </c>
      <c r="K25" s="2">
        <v>575</v>
      </c>
      <c r="L25" s="2">
        <v>112</v>
      </c>
    </row>
    <row r="26" spans="2:12" s="4" customFormat="1" ht="9.75" customHeight="1">
      <c r="B26" s="6" t="s">
        <v>118</v>
      </c>
      <c r="C26" s="4">
        <f>C25/53577</f>
        <v>0.7928962054612987</v>
      </c>
      <c r="D26" s="4">
        <f>D25/53577</f>
        <v>0.07391231311943558</v>
      </c>
      <c r="E26" s="4">
        <f>E25/53577</f>
        <v>0.13319148141926573</v>
      </c>
      <c r="F26" s="4">
        <f>F25/60892</f>
        <v>1</v>
      </c>
      <c r="G26" s="4">
        <f>G25/1461</f>
        <v>1</v>
      </c>
      <c r="H26" s="4">
        <f>H25/731</f>
        <v>0.34610123119015046</v>
      </c>
      <c r="I26" s="4">
        <f>I25/731</f>
        <v>0.46101231190150477</v>
      </c>
      <c r="J26" s="4">
        <f>J25/731</f>
        <v>0.19288645690834474</v>
      </c>
      <c r="K26" s="4">
        <f>K25/575</f>
        <v>1</v>
      </c>
      <c r="L26" s="4">
        <f>L25/112</f>
        <v>1</v>
      </c>
    </row>
    <row r="27" spans="2:12" ht="4.5" customHeight="1"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9.75" customHeight="1">
      <c r="A28" s="3" t="s">
        <v>29</v>
      </c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9.75" customHeight="1">
      <c r="B29" s="5" t="s">
        <v>24</v>
      </c>
      <c r="C29" s="2">
        <v>149</v>
      </c>
      <c r="D29" s="2">
        <v>7</v>
      </c>
      <c r="E29" s="2">
        <v>14</v>
      </c>
      <c r="F29" s="2">
        <v>135</v>
      </c>
      <c r="G29" s="2">
        <v>1</v>
      </c>
      <c r="H29" s="2">
        <v>3</v>
      </c>
      <c r="I29" s="2">
        <v>4</v>
      </c>
      <c r="J29" s="2">
        <v>0</v>
      </c>
      <c r="K29" s="2">
        <v>1</v>
      </c>
      <c r="L29" s="2">
        <v>1</v>
      </c>
    </row>
    <row r="30" spans="2:12" ht="9.75" customHeight="1">
      <c r="B30" s="5" t="s">
        <v>25</v>
      </c>
      <c r="C30" s="2">
        <v>3693</v>
      </c>
      <c r="D30" s="2">
        <v>312</v>
      </c>
      <c r="E30" s="2">
        <v>426</v>
      </c>
      <c r="F30" s="2">
        <v>4262</v>
      </c>
      <c r="G30" s="2">
        <v>93</v>
      </c>
      <c r="H30" s="2">
        <v>23</v>
      </c>
      <c r="I30" s="2">
        <v>13</v>
      </c>
      <c r="J30" s="2">
        <v>3</v>
      </c>
      <c r="K30" s="2">
        <v>47</v>
      </c>
      <c r="L30" s="2">
        <v>4</v>
      </c>
    </row>
    <row r="31" spans="2:12" ht="9.75" customHeight="1">
      <c r="B31" s="5" t="s">
        <v>26</v>
      </c>
      <c r="C31" s="2">
        <v>3939</v>
      </c>
      <c r="D31" s="2">
        <v>337</v>
      </c>
      <c r="E31" s="2">
        <v>546</v>
      </c>
      <c r="F31" s="2">
        <v>4607</v>
      </c>
      <c r="G31" s="2">
        <v>95</v>
      </c>
      <c r="H31" s="2">
        <v>33</v>
      </c>
      <c r="I31" s="2">
        <v>38</v>
      </c>
      <c r="J31" s="2">
        <v>10</v>
      </c>
      <c r="K31" s="2">
        <v>94</v>
      </c>
      <c r="L31" s="2">
        <v>13</v>
      </c>
    </row>
    <row r="32" spans="2:12" ht="9.75" customHeight="1">
      <c r="B32" s="5" t="s">
        <v>27</v>
      </c>
      <c r="C32" s="2">
        <v>40377</v>
      </c>
      <c r="D32" s="2">
        <v>2448</v>
      </c>
      <c r="E32" s="2">
        <v>4007</v>
      </c>
      <c r="F32" s="2">
        <v>39938</v>
      </c>
      <c r="G32" s="2">
        <v>608</v>
      </c>
      <c r="H32" s="2">
        <v>99</v>
      </c>
      <c r="I32" s="2">
        <v>172</v>
      </c>
      <c r="J32" s="2">
        <v>74</v>
      </c>
      <c r="K32" s="2">
        <v>304</v>
      </c>
      <c r="L32" s="2">
        <v>66</v>
      </c>
    </row>
    <row r="33" spans="2:12" ht="9.75" customHeight="1">
      <c r="B33" s="5" t="s">
        <v>28</v>
      </c>
      <c r="C33" s="2">
        <v>1393</v>
      </c>
      <c r="D33" s="2">
        <v>89</v>
      </c>
      <c r="E33" s="2">
        <v>140</v>
      </c>
      <c r="F33" s="2">
        <v>1288</v>
      </c>
      <c r="G33" s="2">
        <v>23</v>
      </c>
      <c r="H33" s="2">
        <v>3</v>
      </c>
      <c r="I33" s="2">
        <v>5</v>
      </c>
      <c r="J33" s="2">
        <v>1</v>
      </c>
      <c r="K33" s="2">
        <v>14</v>
      </c>
      <c r="L33" s="2">
        <v>3</v>
      </c>
    </row>
    <row r="34" spans="1:12" ht="9.75" customHeight="1">
      <c r="A34" s="3" t="s">
        <v>117</v>
      </c>
      <c r="C34" s="2">
        <v>49551</v>
      </c>
      <c r="D34" s="2">
        <v>3193</v>
      </c>
      <c r="E34" s="2">
        <v>5133</v>
      </c>
      <c r="F34" s="2">
        <v>50230</v>
      </c>
      <c r="G34" s="2">
        <v>820</v>
      </c>
      <c r="H34" s="2">
        <v>161</v>
      </c>
      <c r="I34" s="2">
        <v>232</v>
      </c>
      <c r="J34" s="2">
        <v>88</v>
      </c>
      <c r="K34" s="2">
        <v>460</v>
      </c>
      <c r="L34" s="2">
        <v>87</v>
      </c>
    </row>
    <row r="35" spans="2:12" s="4" customFormat="1" ht="9.75" customHeight="1">
      <c r="B35" s="6" t="s">
        <v>118</v>
      </c>
      <c r="C35" s="4">
        <f>C34/57877</f>
        <v>0.856143200234981</v>
      </c>
      <c r="D35" s="4">
        <f>D34/57877</f>
        <v>0.05516871987145153</v>
      </c>
      <c r="E35" s="4">
        <f>E34/57877</f>
        <v>0.08868807989356739</v>
      </c>
      <c r="F35" s="4">
        <f>F34/50230</f>
        <v>1</v>
      </c>
      <c r="G35" s="4">
        <f>G34/820</f>
        <v>1</v>
      </c>
      <c r="H35" s="4">
        <f>H34/481</f>
        <v>0.33471933471933474</v>
      </c>
      <c r="I35" s="4">
        <f>I34/481</f>
        <v>0.48232848232848236</v>
      </c>
      <c r="J35" s="4">
        <f>J34/481</f>
        <v>0.18295218295218296</v>
      </c>
      <c r="K35" s="4">
        <f>K34/460</f>
        <v>1</v>
      </c>
      <c r="L35" s="4">
        <f>L34/87</f>
        <v>1</v>
      </c>
    </row>
    <row r="36" spans="2:12" ht="4.5" customHeight="1"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9.75" customHeight="1">
      <c r="A37" s="3" t="s">
        <v>37</v>
      </c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9.75" customHeight="1">
      <c r="B38" s="5" t="s">
        <v>14</v>
      </c>
      <c r="C38" s="2">
        <v>2789</v>
      </c>
      <c r="D38" s="2">
        <v>305</v>
      </c>
      <c r="E38" s="2">
        <v>457</v>
      </c>
      <c r="F38" s="2">
        <v>3797</v>
      </c>
      <c r="G38" s="2">
        <v>85</v>
      </c>
      <c r="H38" s="2">
        <v>9</v>
      </c>
      <c r="I38" s="2">
        <v>10</v>
      </c>
      <c r="J38" s="2">
        <v>5</v>
      </c>
      <c r="K38" s="2">
        <v>44</v>
      </c>
      <c r="L38" s="2">
        <v>3</v>
      </c>
    </row>
    <row r="39" spans="2:12" ht="9.75" customHeight="1">
      <c r="B39" s="5" t="s">
        <v>30</v>
      </c>
      <c r="C39" s="2">
        <v>12169</v>
      </c>
      <c r="D39" s="2">
        <v>922</v>
      </c>
      <c r="E39" s="2">
        <v>1419</v>
      </c>
      <c r="F39" s="2">
        <v>16684</v>
      </c>
      <c r="G39" s="2">
        <v>309</v>
      </c>
      <c r="H39" s="2">
        <v>91</v>
      </c>
      <c r="I39" s="2">
        <v>112</v>
      </c>
      <c r="J39" s="2">
        <v>35</v>
      </c>
      <c r="K39" s="2">
        <v>157</v>
      </c>
      <c r="L39" s="2">
        <v>20</v>
      </c>
    </row>
    <row r="40" spans="2:12" ht="9.75" customHeight="1">
      <c r="B40" s="5" t="s">
        <v>31</v>
      </c>
      <c r="C40" s="2">
        <v>1622</v>
      </c>
      <c r="D40" s="2">
        <v>265</v>
      </c>
      <c r="E40" s="2">
        <v>324</v>
      </c>
      <c r="F40" s="2">
        <v>2706</v>
      </c>
      <c r="G40" s="2">
        <v>103</v>
      </c>
      <c r="H40" s="2">
        <v>2</v>
      </c>
      <c r="I40" s="2">
        <v>8</v>
      </c>
      <c r="J40" s="2">
        <v>3</v>
      </c>
      <c r="K40" s="2">
        <v>22</v>
      </c>
      <c r="L40" s="2">
        <v>3</v>
      </c>
    </row>
    <row r="41" spans="2:12" ht="9.75" customHeight="1">
      <c r="B41" s="5" t="s">
        <v>32</v>
      </c>
      <c r="C41" s="2">
        <v>767</v>
      </c>
      <c r="D41" s="2">
        <v>117</v>
      </c>
      <c r="E41" s="2">
        <v>193</v>
      </c>
      <c r="F41" s="2">
        <v>1551</v>
      </c>
      <c r="G41" s="2">
        <v>59</v>
      </c>
      <c r="H41" s="2">
        <v>5</v>
      </c>
      <c r="I41" s="2">
        <v>2</v>
      </c>
      <c r="J41" s="2">
        <v>3</v>
      </c>
      <c r="K41" s="2">
        <v>20</v>
      </c>
      <c r="L41" s="2">
        <v>3</v>
      </c>
    </row>
    <row r="42" spans="2:12" ht="9.75" customHeight="1">
      <c r="B42" s="5" t="s">
        <v>33</v>
      </c>
      <c r="C42" s="2">
        <v>9411</v>
      </c>
      <c r="D42" s="2">
        <v>474</v>
      </c>
      <c r="E42" s="2">
        <v>994</v>
      </c>
      <c r="F42" s="2">
        <v>10790</v>
      </c>
      <c r="G42" s="2">
        <v>208</v>
      </c>
      <c r="H42" s="2">
        <v>137</v>
      </c>
      <c r="I42" s="2">
        <v>157</v>
      </c>
      <c r="J42" s="2">
        <v>61</v>
      </c>
      <c r="K42" s="2">
        <v>121</v>
      </c>
      <c r="L42" s="2">
        <v>12</v>
      </c>
    </row>
    <row r="43" spans="2:12" ht="9.75" customHeight="1">
      <c r="B43" s="5" t="s">
        <v>34</v>
      </c>
      <c r="C43" s="2">
        <v>23090</v>
      </c>
      <c r="D43" s="2">
        <v>1402</v>
      </c>
      <c r="E43" s="2">
        <v>2270</v>
      </c>
      <c r="F43" s="2">
        <v>34851</v>
      </c>
      <c r="G43" s="2">
        <v>417</v>
      </c>
      <c r="H43" s="2">
        <v>101</v>
      </c>
      <c r="I43" s="2">
        <v>102</v>
      </c>
      <c r="J43" s="2">
        <v>46</v>
      </c>
      <c r="K43" s="2">
        <v>221</v>
      </c>
      <c r="L43" s="2">
        <v>29</v>
      </c>
    </row>
    <row r="44" spans="2:12" ht="9.75" customHeight="1">
      <c r="B44" s="5" t="s">
        <v>35</v>
      </c>
      <c r="C44" s="2">
        <v>2000</v>
      </c>
      <c r="D44" s="2">
        <v>182</v>
      </c>
      <c r="E44" s="2">
        <v>251</v>
      </c>
      <c r="F44" s="2">
        <v>2663</v>
      </c>
      <c r="G44" s="2">
        <v>78</v>
      </c>
      <c r="H44" s="2">
        <v>7</v>
      </c>
      <c r="I44" s="2">
        <v>12</v>
      </c>
      <c r="J44" s="2">
        <v>6</v>
      </c>
      <c r="K44" s="2">
        <v>32</v>
      </c>
      <c r="L44" s="2">
        <v>7</v>
      </c>
    </row>
    <row r="45" spans="2:12" ht="9.75" customHeight="1">
      <c r="B45" s="5" t="s">
        <v>27</v>
      </c>
      <c r="C45" s="2">
        <v>1790</v>
      </c>
      <c r="D45" s="2">
        <v>132</v>
      </c>
      <c r="E45" s="2">
        <v>235</v>
      </c>
      <c r="F45" s="2">
        <v>2557</v>
      </c>
      <c r="G45" s="2">
        <v>33</v>
      </c>
      <c r="H45" s="2">
        <v>4</v>
      </c>
      <c r="I45" s="2">
        <v>9</v>
      </c>
      <c r="J45" s="2">
        <v>0</v>
      </c>
      <c r="K45" s="2">
        <v>26</v>
      </c>
      <c r="L45" s="2">
        <v>3</v>
      </c>
    </row>
    <row r="46" spans="2:12" ht="9.75" customHeight="1">
      <c r="B46" s="5" t="s">
        <v>36</v>
      </c>
      <c r="C46" s="2">
        <v>341</v>
      </c>
      <c r="D46" s="2">
        <v>49</v>
      </c>
      <c r="E46" s="2">
        <v>68</v>
      </c>
      <c r="F46" s="2">
        <v>499</v>
      </c>
      <c r="G46" s="2">
        <v>27</v>
      </c>
      <c r="H46" s="2">
        <v>5</v>
      </c>
      <c r="I46" s="2">
        <v>4</v>
      </c>
      <c r="J46" s="2">
        <v>2</v>
      </c>
      <c r="K46" s="2">
        <v>16</v>
      </c>
      <c r="L46" s="2">
        <v>1</v>
      </c>
    </row>
    <row r="47" spans="1:12" ht="9.75" customHeight="1">
      <c r="A47" s="3" t="s">
        <v>117</v>
      </c>
      <c r="C47" s="2">
        <v>53979</v>
      </c>
      <c r="D47" s="2">
        <v>3848</v>
      </c>
      <c r="E47" s="2">
        <v>6211</v>
      </c>
      <c r="F47" s="2">
        <v>76098</v>
      </c>
      <c r="G47" s="2">
        <v>1319</v>
      </c>
      <c r="H47" s="2">
        <v>361</v>
      </c>
      <c r="I47" s="2">
        <v>416</v>
      </c>
      <c r="J47" s="2">
        <v>161</v>
      </c>
      <c r="K47" s="2">
        <v>659</v>
      </c>
      <c r="L47" s="2">
        <v>81</v>
      </c>
    </row>
    <row r="48" spans="2:12" s="4" customFormat="1" ht="9.75" customHeight="1">
      <c r="B48" s="6" t="s">
        <v>118</v>
      </c>
      <c r="C48" s="4">
        <f>C47/64038</f>
        <v>0.8429213904244355</v>
      </c>
      <c r="D48" s="4">
        <f>D47/64038</f>
        <v>0.06008932196508323</v>
      </c>
      <c r="E48" s="4">
        <f>E47/64038</f>
        <v>0.09698928761048127</v>
      </c>
      <c r="F48" s="4">
        <f>F47/76098</f>
        <v>1</v>
      </c>
      <c r="G48" s="4">
        <f>G47/1319</f>
        <v>1</v>
      </c>
      <c r="H48" s="4">
        <f>H47/938</f>
        <v>0.38486140724946694</v>
      </c>
      <c r="I48" s="4">
        <f>I47/938</f>
        <v>0.44349680170575695</v>
      </c>
      <c r="J48" s="4">
        <f>J47/938</f>
        <v>0.17164179104477612</v>
      </c>
      <c r="K48" s="4">
        <f>K47/659</f>
        <v>1</v>
      </c>
      <c r="L48" s="4">
        <f>L47/81</f>
        <v>1</v>
      </c>
    </row>
    <row r="49" spans="2:12" ht="4.5" customHeight="1"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9.75" customHeight="1">
      <c r="A50" s="3" t="s">
        <v>38</v>
      </c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9.75" customHeight="1">
      <c r="B51" s="5" t="s">
        <v>27</v>
      </c>
      <c r="C51" s="2">
        <v>50421</v>
      </c>
      <c r="D51" s="2">
        <v>2536</v>
      </c>
      <c r="E51" s="2">
        <v>4053</v>
      </c>
      <c r="F51" s="2">
        <v>20193</v>
      </c>
      <c r="G51" s="2">
        <v>569</v>
      </c>
      <c r="H51" s="2">
        <v>233</v>
      </c>
      <c r="I51" s="2">
        <v>284</v>
      </c>
      <c r="J51" s="2">
        <v>129</v>
      </c>
      <c r="K51" s="2">
        <v>269</v>
      </c>
      <c r="L51" s="2">
        <v>185</v>
      </c>
    </row>
    <row r="52" spans="1:12" ht="9.75" customHeight="1">
      <c r="A52" s="3" t="s">
        <v>117</v>
      </c>
      <c r="C52" s="2">
        <v>50421</v>
      </c>
      <c r="D52" s="2">
        <v>2536</v>
      </c>
      <c r="E52" s="2">
        <v>4053</v>
      </c>
      <c r="F52" s="2">
        <v>20193</v>
      </c>
      <c r="G52" s="2">
        <v>569</v>
      </c>
      <c r="H52" s="2">
        <v>233</v>
      </c>
      <c r="I52" s="2">
        <v>284</v>
      </c>
      <c r="J52" s="2">
        <v>129</v>
      </c>
      <c r="K52" s="2">
        <v>269</v>
      </c>
      <c r="L52" s="2">
        <v>185</v>
      </c>
    </row>
    <row r="53" spans="2:12" s="4" customFormat="1" ht="9.75" customHeight="1">
      <c r="B53" s="6" t="s">
        <v>118</v>
      </c>
      <c r="C53" s="4">
        <f>C52/57010</f>
        <v>0.8844237853008244</v>
      </c>
      <c r="D53" s="4">
        <f>D52/57010</f>
        <v>0.044483423960708646</v>
      </c>
      <c r="E53" s="4">
        <f>E52/57010</f>
        <v>0.07109279073846693</v>
      </c>
      <c r="F53" s="4">
        <f>F52/20193</f>
        <v>1</v>
      </c>
      <c r="G53" s="4">
        <f>G52/569</f>
        <v>1</v>
      </c>
      <c r="H53" s="4">
        <f>H52/646</f>
        <v>0.3606811145510836</v>
      </c>
      <c r="I53" s="4">
        <f>I52/646</f>
        <v>0.43962848297213625</v>
      </c>
      <c r="J53" s="4">
        <f>J52/646</f>
        <v>0.1996904024767802</v>
      </c>
      <c r="K53" s="4">
        <f>K52/269</f>
        <v>1</v>
      </c>
      <c r="L53" s="4">
        <f>L52/185</f>
        <v>1</v>
      </c>
    </row>
    <row r="54" spans="2:12" ht="4.5" customHeight="1"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9.75" customHeight="1">
      <c r="A55" s="3" t="s">
        <v>40</v>
      </c>
      <c r="B55" s="7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9.75" customHeight="1">
      <c r="B56" s="5" t="s">
        <v>39</v>
      </c>
      <c r="C56" s="2">
        <v>41459</v>
      </c>
      <c r="D56" s="2">
        <v>924</v>
      </c>
      <c r="E56" s="2">
        <v>2311</v>
      </c>
      <c r="F56" s="2">
        <v>11804</v>
      </c>
      <c r="G56" s="2">
        <v>298</v>
      </c>
      <c r="H56" s="2">
        <v>294</v>
      </c>
      <c r="I56" s="2">
        <v>241</v>
      </c>
      <c r="J56" s="2">
        <v>118</v>
      </c>
      <c r="K56" s="2">
        <v>213</v>
      </c>
      <c r="L56" s="2">
        <v>50</v>
      </c>
    </row>
    <row r="57" spans="2:12" ht="9.75" customHeight="1">
      <c r="B57" s="5" t="s">
        <v>11</v>
      </c>
      <c r="C57" s="2">
        <v>53943</v>
      </c>
      <c r="D57" s="2">
        <v>2526</v>
      </c>
      <c r="E57" s="2">
        <v>5047</v>
      </c>
      <c r="F57" s="2">
        <v>21685</v>
      </c>
      <c r="G57" s="2">
        <v>960</v>
      </c>
      <c r="H57" s="2">
        <v>562</v>
      </c>
      <c r="I57" s="2">
        <v>654</v>
      </c>
      <c r="J57" s="2">
        <v>193</v>
      </c>
      <c r="K57" s="2">
        <v>449</v>
      </c>
      <c r="L57" s="2">
        <v>141</v>
      </c>
    </row>
    <row r="58" spans="1:12" ht="9.75" customHeight="1">
      <c r="A58" s="3" t="s">
        <v>117</v>
      </c>
      <c r="C58" s="2">
        <v>95402</v>
      </c>
      <c r="D58" s="2">
        <v>3450</v>
      </c>
      <c r="E58" s="2">
        <v>7358</v>
      </c>
      <c r="F58" s="2">
        <v>33489</v>
      </c>
      <c r="G58" s="2">
        <v>1258</v>
      </c>
      <c r="H58" s="2">
        <v>856</v>
      </c>
      <c r="I58" s="2">
        <v>895</v>
      </c>
      <c r="J58" s="2">
        <v>311</v>
      </c>
      <c r="K58" s="2">
        <v>662</v>
      </c>
      <c r="L58" s="2">
        <v>191</v>
      </c>
    </row>
    <row r="59" spans="2:12" s="4" customFormat="1" ht="9.75" customHeight="1">
      <c r="B59" s="6" t="s">
        <v>118</v>
      </c>
      <c r="C59" s="4">
        <f>C58/106210</f>
        <v>0.8982393371622258</v>
      </c>
      <c r="D59" s="4">
        <f>D58/106210</f>
        <v>0.03248281706054044</v>
      </c>
      <c r="E59" s="4">
        <f>E58/106210</f>
        <v>0.06927784577723378</v>
      </c>
      <c r="F59" s="4">
        <f>F58/33489</f>
        <v>1</v>
      </c>
      <c r="G59" s="4">
        <f>G58/1258</f>
        <v>1</v>
      </c>
      <c r="H59" s="4">
        <f>H58/2062</f>
        <v>0.4151309408341416</v>
      </c>
      <c r="I59" s="4">
        <f>I58/2062</f>
        <v>0.4340446168768186</v>
      </c>
      <c r="J59" s="4">
        <f>J58/2062</f>
        <v>0.15082444228903977</v>
      </c>
      <c r="K59" s="4">
        <f>K58/662</f>
        <v>1</v>
      </c>
      <c r="L59" s="4">
        <f>L58/191</f>
        <v>1</v>
      </c>
    </row>
    <row r="60" spans="2:12" ht="4.5" customHeight="1"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9.75" customHeight="1">
      <c r="A61" s="3" t="s">
        <v>42</v>
      </c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9.75" customHeight="1">
      <c r="B62" s="5" t="s">
        <v>41</v>
      </c>
      <c r="C62" s="2">
        <v>34907</v>
      </c>
      <c r="D62" s="2">
        <v>1458</v>
      </c>
      <c r="E62" s="2">
        <v>2719</v>
      </c>
      <c r="F62" s="2">
        <v>9257</v>
      </c>
      <c r="G62" s="2">
        <v>396</v>
      </c>
      <c r="H62" s="2">
        <v>208</v>
      </c>
      <c r="I62" s="2">
        <v>142</v>
      </c>
      <c r="J62" s="2">
        <v>62</v>
      </c>
      <c r="K62" s="2">
        <v>212</v>
      </c>
      <c r="L62" s="2">
        <v>61</v>
      </c>
    </row>
    <row r="63" spans="2:12" ht="9.75" customHeight="1">
      <c r="B63" s="5" t="s">
        <v>28</v>
      </c>
      <c r="C63" s="2">
        <v>19764</v>
      </c>
      <c r="D63" s="2">
        <v>1006</v>
      </c>
      <c r="E63" s="2">
        <v>1723</v>
      </c>
      <c r="F63" s="2">
        <v>9170</v>
      </c>
      <c r="G63" s="2">
        <v>254</v>
      </c>
      <c r="H63" s="2">
        <v>61</v>
      </c>
      <c r="I63" s="2">
        <v>49</v>
      </c>
      <c r="J63" s="2">
        <v>26</v>
      </c>
      <c r="K63" s="2">
        <v>122</v>
      </c>
      <c r="L63" s="2">
        <v>20</v>
      </c>
    </row>
    <row r="64" spans="1:12" ht="9.75" customHeight="1">
      <c r="A64" s="3" t="s">
        <v>117</v>
      </c>
      <c r="C64" s="2">
        <v>54671</v>
      </c>
      <c r="D64" s="2">
        <v>2464</v>
      </c>
      <c r="E64" s="2">
        <v>4442</v>
      </c>
      <c r="F64" s="2">
        <v>18427</v>
      </c>
      <c r="G64" s="2">
        <v>650</v>
      </c>
      <c r="H64" s="2">
        <v>269</v>
      </c>
      <c r="I64" s="2">
        <v>191</v>
      </c>
      <c r="J64" s="2">
        <v>88</v>
      </c>
      <c r="K64" s="2">
        <v>334</v>
      </c>
      <c r="L64" s="2">
        <v>81</v>
      </c>
    </row>
    <row r="65" spans="2:12" s="4" customFormat="1" ht="9.75" customHeight="1">
      <c r="B65" s="6" t="s">
        <v>118</v>
      </c>
      <c r="C65" s="4">
        <f>C64/61577</f>
        <v>0.8878477353557335</v>
      </c>
      <c r="D65" s="4">
        <f>D64/61577</f>
        <v>0.04001494064342206</v>
      </c>
      <c r="E65" s="4">
        <f>E64/61577</f>
        <v>0.07213732400084447</v>
      </c>
      <c r="F65" s="4">
        <f>F64/18427</f>
        <v>1</v>
      </c>
      <c r="G65" s="4">
        <f>G64/650</f>
        <v>1</v>
      </c>
      <c r="H65" s="4">
        <f>H64/548</f>
        <v>0.4908759124087591</v>
      </c>
      <c r="I65" s="4">
        <f>I64/548</f>
        <v>0.34854014598540145</v>
      </c>
      <c r="J65" s="4">
        <f>J64/548</f>
        <v>0.16058394160583941</v>
      </c>
      <c r="K65" s="4">
        <f>K64/334</f>
        <v>1</v>
      </c>
      <c r="L65" s="4">
        <f>L64/81</f>
        <v>1</v>
      </c>
    </row>
    <row r="66" spans="2:12" ht="4.5" customHeight="1"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9.75" customHeight="1">
      <c r="A67" s="3" t="s">
        <v>44</v>
      </c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9.75" customHeight="1">
      <c r="B68" s="5" t="s">
        <v>43</v>
      </c>
      <c r="C68" s="2">
        <v>73740</v>
      </c>
      <c r="D68" s="2">
        <v>2298</v>
      </c>
      <c r="E68" s="2">
        <v>4941</v>
      </c>
      <c r="F68" s="2">
        <v>8430</v>
      </c>
      <c r="G68" s="2">
        <v>581</v>
      </c>
      <c r="H68" s="2">
        <v>1606</v>
      </c>
      <c r="I68" s="2">
        <v>574</v>
      </c>
      <c r="J68" s="2">
        <v>270</v>
      </c>
      <c r="K68" s="2">
        <v>389</v>
      </c>
      <c r="L68" s="2">
        <v>207</v>
      </c>
    </row>
    <row r="69" spans="1:12" ht="9.75" customHeight="1">
      <c r="A69" s="3" t="s">
        <v>117</v>
      </c>
      <c r="C69" s="2">
        <v>73740</v>
      </c>
      <c r="D69" s="2">
        <v>2298</v>
      </c>
      <c r="E69" s="2">
        <v>4941</v>
      </c>
      <c r="F69" s="2">
        <v>8430</v>
      </c>
      <c r="G69" s="2">
        <v>581</v>
      </c>
      <c r="H69" s="2">
        <v>1606</v>
      </c>
      <c r="I69" s="2">
        <v>574</v>
      </c>
      <c r="J69" s="2">
        <v>270</v>
      </c>
      <c r="K69" s="2">
        <v>389</v>
      </c>
      <c r="L69" s="2">
        <v>207</v>
      </c>
    </row>
    <row r="70" spans="2:12" s="4" customFormat="1" ht="9.75" customHeight="1">
      <c r="B70" s="6" t="s">
        <v>118</v>
      </c>
      <c r="C70" s="4">
        <f>C69/80979</f>
        <v>0.9106064535249879</v>
      </c>
      <c r="D70" s="4">
        <f>D69/80979</f>
        <v>0.028377727558996778</v>
      </c>
      <c r="E70" s="4">
        <f>E69/80979</f>
        <v>0.06101581891601526</v>
      </c>
      <c r="F70" s="4">
        <f>F69/8430</f>
        <v>1</v>
      </c>
      <c r="G70" s="4">
        <f>G69/581</f>
        <v>1</v>
      </c>
      <c r="H70" s="4">
        <f>H69/2450</f>
        <v>0.6555102040816326</v>
      </c>
      <c r="I70" s="4">
        <f>I69/2450</f>
        <v>0.2342857142857143</v>
      </c>
      <c r="J70" s="4">
        <f>J69/2450</f>
        <v>0.11020408163265306</v>
      </c>
      <c r="K70" s="4">
        <f>K69/389</f>
        <v>1</v>
      </c>
      <c r="L70" s="4">
        <f>L69/207</f>
        <v>1</v>
      </c>
    </row>
    <row r="71" spans="2:12" ht="4.5" customHeight="1"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9.75" customHeight="1">
      <c r="A72" s="3" t="s">
        <v>46</v>
      </c>
      <c r="B72" s="7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9.75" customHeight="1">
      <c r="B73" s="5" t="s">
        <v>45</v>
      </c>
      <c r="C73" s="2">
        <v>93120</v>
      </c>
      <c r="D73" s="2">
        <v>2710</v>
      </c>
      <c r="E73" s="2">
        <v>5890</v>
      </c>
      <c r="F73" s="2">
        <v>9954</v>
      </c>
      <c r="G73" s="2">
        <v>377</v>
      </c>
      <c r="H73" s="2">
        <v>1778</v>
      </c>
      <c r="I73" s="2">
        <v>646</v>
      </c>
      <c r="J73" s="2">
        <v>410</v>
      </c>
      <c r="K73" s="2">
        <v>305</v>
      </c>
      <c r="L73" s="2">
        <v>299</v>
      </c>
    </row>
    <row r="74" spans="1:12" ht="9.75" customHeight="1">
      <c r="A74" s="3" t="s">
        <v>117</v>
      </c>
      <c r="C74" s="2">
        <v>93120</v>
      </c>
      <c r="D74" s="2">
        <v>2710</v>
      </c>
      <c r="E74" s="2">
        <v>5890</v>
      </c>
      <c r="F74" s="2">
        <v>9954</v>
      </c>
      <c r="G74" s="2">
        <v>377</v>
      </c>
      <c r="H74" s="2">
        <v>1778</v>
      </c>
      <c r="I74" s="2">
        <v>646</v>
      </c>
      <c r="J74" s="2">
        <v>410</v>
      </c>
      <c r="K74" s="2">
        <v>305</v>
      </c>
      <c r="L74" s="2">
        <v>299</v>
      </c>
    </row>
    <row r="75" spans="2:12" s="4" customFormat="1" ht="9.75" customHeight="1">
      <c r="B75" s="6" t="s">
        <v>118</v>
      </c>
      <c r="C75" s="4">
        <f>C74/101720</f>
        <v>0.9154541879669682</v>
      </c>
      <c r="D75" s="4">
        <f>D74/101720</f>
        <v>0.026641761698780967</v>
      </c>
      <c r="E75" s="4">
        <f>E74/101720</f>
        <v>0.05790405033425088</v>
      </c>
      <c r="F75" s="4">
        <f>F74/9954</f>
        <v>1</v>
      </c>
      <c r="G75" s="4">
        <f>G74/377</f>
        <v>1</v>
      </c>
      <c r="H75" s="4">
        <f>H74/2834</f>
        <v>0.6273817925194072</v>
      </c>
      <c r="I75" s="4">
        <f>I74/2834</f>
        <v>0.22794636556104447</v>
      </c>
      <c r="J75" s="4">
        <f>J74/2834</f>
        <v>0.14467184191954835</v>
      </c>
      <c r="K75" s="4">
        <f>K74/305</f>
        <v>1</v>
      </c>
      <c r="L75" s="4">
        <f>L74/299</f>
        <v>1</v>
      </c>
    </row>
    <row r="76" spans="2:12" ht="4.5" customHeight="1"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9.75" customHeight="1">
      <c r="A77" s="3" t="s">
        <v>47</v>
      </c>
      <c r="B77" s="7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9.75" customHeight="1">
      <c r="B78" s="5" t="s">
        <v>45</v>
      </c>
      <c r="C78" s="2">
        <v>5941</v>
      </c>
      <c r="D78" s="2">
        <v>270</v>
      </c>
      <c r="E78" s="2">
        <v>400</v>
      </c>
      <c r="F78" s="2">
        <v>4491</v>
      </c>
      <c r="G78" s="2">
        <v>78</v>
      </c>
      <c r="H78" s="2">
        <v>21</v>
      </c>
      <c r="I78" s="2">
        <v>14</v>
      </c>
      <c r="J78" s="2">
        <v>12</v>
      </c>
      <c r="K78" s="2">
        <v>59</v>
      </c>
      <c r="L78" s="2">
        <v>6</v>
      </c>
    </row>
    <row r="79" spans="2:12" ht="9.75" customHeight="1">
      <c r="B79" s="5" t="s">
        <v>41</v>
      </c>
      <c r="C79" s="2">
        <v>44400</v>
      </c>
      <c r="D79" s="2">
        <v>1341</v>
      </c>
      <c r="E79" s="2">
        <v>2663</v>
      </c>
      <c r="F79" s="2">
        <v>24031</v>
      </c>
      <c r="G79" s="2">
        <v>448</v>
      </c>
      <c r="H79" s="2">
        <v>230</v>
      </c>
      <c r="I79" s="2">
        <v>141</v>
      </c>
      <c r="J79" s="2">
        <v>68</v>
      </c>
      <c r="K79" s="2">
        <v>278</v>
      </c>
      <c r="L79" s="2">
        <v>45</v>
      </c>
    </row>
    <row r="80" spans="2:12" ht="9.75" customHeight="1">
      <c r="B80" s="5" t="s">
        <v>27</v>
      </c>
      <c r="C80" s="2">
        <v>217</v>
      </c>
      <c r="D80" s="2">
        <v>9</v>
      </c>
      <c r="E80" s="2">
        <v>20</v>
      </c>
      <c r="F80" s="2">
        <v>156</v>
      </c>
      <c r="G80" s="2">
        <v>5</v>
      </c>
      <c r="H80" s="2">
        <v>2</v>
      </c>
      <c r="I80" s="2">
        <v>1</v>
      </c>
      <c r="J80" s="2">
        <v>0</v>
      </c>
      <c r="K80" s="2">
        <v>2</v>
      </c>
      <c r="L80" s="2">
        <v>0</v>
      </c>
    </row>
    <row r="81" spans="2:12" ht="9.75" customHeight="1">
      <c r="B81" s="5" t="s">
        <v>28</v>
      </c>
      <c r="C81" s="2">
        <v>9747</v>
      </c>
      <c r="D81" s="2">
        <v>520</v>
      </c>
      <c r="E81" s="2">
        <v>1057</v>
      </c>
      <c r="F81" s="2">
        <v>6116</v>
      </c>
      <c r="G81" s="2">
        <v>153</v>
      </c>
      <c r="H81" s="2">
        <v>15</v>
      </c>
      <c r="I81" s="2">
        <v>17</v>
      </c>
      <c r="J81" s="2">
        <v>10</v>
      </c>
      <c r="K81" s="2">
        <v>70</v>
      </c>
      <c r="L81" s="2">
        <v>12</v>
      </c>
    </row>
    <row r="82" spans="1:12" ht="9.75" customHeight="1">
      <c r="A82" s="3" t="s">
        <v>117</v>
      </c>
      <c r="C82" s="2">
        <v>60305</v>
      </c>
      <c r="D82" s="2">
        <v>2140</v>
      </c>
      <c r="E82" s="2">
        <v>4140</v>
      </c>
      <c r="F82" s="2">
        <v>34794</v>
      </c>
      <c r="G82" s="2">
        <v>684</v>
      </c>
      <c r="H82" s="2">
        <v>268</v>
      </c>
      <c r="I82" s="2">
        <v>173</v>
      </c>
      <c r="J82" s="2">
        <v>90</v>
      </c>
      <c r="K82" s="2">
        <v>409</v>
      </c>
      <c r="L82" s="2">
        <v>63</v>
      </c>
    </row>
    <row r="83" spans="2:12" s="4" customFormat="1" ht="9.75" customHeight="1">
      <c r="B83" s="6" t="s">
        <v>118</v>
      </c>
      <c r="C83" s="4">
        <f>C82/66585</f>
        <v>0.905684463467748</v>
      </c>
      <c r="D83" s="4">
        <f>D82/66585</f>
        <v>0.0321393707291432</v>
      </c>
      <c r="E83" s="4">
        <f>E82/66585</f>
        <v>0.06217616580310881</v>
      </c>
      <c r="F83" s="4">
        <f>F82/34794</f>
        <v>1</v>
      </c>
      <c r="G83" s="4">
        <f>G82/684</f>
        <v>1</v>
      </c>
      <c r="H83" s="4">
        <f>H82/531</f>
        <v>0.504708097928437</v>
      </c>
      <c r="I83" s="4">
        <f>I82/531</f>
        <v>0.3258003766478343</v>
      </c>
      <c r="J83" s="4">
        <f>J82/531</f>
        <v>0.1694915254237288</v>
      </c>
      <c r="K83" s="4">
        <f>K82/409</f>
        <v>1</v>
      </c>
      <c r="L83" s="4">
        <f>L82/63</f>
        <v>1</v>
      </c>
    </row>
    <row r="84" spans="2:12" ht="4.5" customHeight="1"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9.75" customHeight="1">
      <c r="A85" s="3" t="s">
        <v>50</v>
      </c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9.75" customHeight="1">
      <c r="B86" s="5" t="s">
        <v>45</v>
      </c>
      <c r="C86" s="2">
        <v>7479</v>
      </c>
      <c r="D86" s="2">
        <v>235</v>
      </c>
      <c r="E86" s="2">
        <v>427</v>
      </c>
      <c r="F86" s="2">
        <v>5343</v>
      </c>
      <c r="G86" s="2">
        <v>68</v>
      </c>
      <c r="H86" s="2">
        <v>20</v>
      </c>
      <c r="I86" s="2">
        <v>10</v>
      </c>
      <c r="J86" s="2">
        <v>16</v>
      </c>
      <c r="K86" s="2">
        <v>53</v>
      </c>
      <c r="L86" s="2">
        <v>4</v>
      </c>
    </row>
    <row r="87" spans="2:12" ht="9.75" customHeight="1">
      <c r="B87" s="5" t="s">
        <v>41</v>
      </c>
      <c r="C87" s="2">
        <v>10842</v>
      </c>
      <c r="D87" s="2">
        <v>380</v>
      </c>
      <c r="E87" s="2">
        <v>607</v>
      </c>
      <c r="F87" s="2">
        <v>10894</v>
      </c>
      <c r="G87" s="2">
        <v>145</v>
      </c>
      <c r="H87" s="2">
        <v>29</v>
      </c>
      <c r="I87" s="2">
        <v>17</v>
      </c>
      <c r="J87" s="2">
        <v>11</v>
      </c>
      <c r="K87" s="2">
        <v>85</v>
      </c>
      <c r="L87" s="2">
        <v>4</v>
      </c>
    </row>
    <row r="88" spans="2:12" ht="9.75" customHeight="1">
      <c r="B88" s="5" t="s">
        <v>48</v>
      </c>
      <c r="C88" s="2">
        <v>22634</v>
      </c>
      <c r="D88" s="2">
        <v>1562</v>
      </c>
      <c r="E88" s="2">
        <v>2422</v>
      </c>
      <c r="F88" s="2">
        <v>27092</v>
      </c>
      <c r="G88" s="2">
        <v>430</v>
      </c>
      <c r="H88" s="2">
        <v>46</v>
      </c>
      <c r="I88" s="2">
        <v>61</v>
      </c>
      <c r="J88" s="2">
        <v>24</v>
      </c>
      <c r="K88" s="2">
        <v>153</v>
      </c>
      <c r="L88" s="2">
        <v>14</v>
      </c>
    </row>
    <row r="89" spans="2:12" ht="9.75" customHeight="1">
      <c r="B89" s="5" t="s">
        <v>49</v>
      </c>
      <c r="C89" s="2">
        <v>3092</v>
      </c>
      <c r="D89" s="2">
        <v>144</v>
      </c>
      <c r="E89" s="2">
        <v>230</v>
      </c>
      <c r="F89" s="2">
        <v>2568</v>
      </c>
      <c r="G89" s="2">
        <v>77</v>
      </c>
      <c r="H89" s="2">
        <v>8</v>
      </c>
      <c r="I89" s="2">
        <v>6</v>
      </c>
      <c r="J89" s="2">
        <v>6</v>
      </c>
      <c r="K89" s="2">
        <v>29</v>
      </c>
      <c r="L89" s="2">
        <v>3</v>
      </c>
    </row>
    <row r="90" spans="1:12" ht="9.75" customHeight="1">
      <c r="A90" s="3" t="s">
        <v>117</v>
      </c>
      <c r="C90" s="2">
        <v>44047</v>
      </c>
      <c r="D90" s="2">
        <v>2321</v>
      </c>
      <c r="E90" s="2">
        <v>3686</v>
      </c>
      <c r="F90" s="2">
        <v>45897</v>
      </c>
      <c r="G90" s="2">
        <v>720</v>
      </c>
      <c r="H90" s="2">
        <v>103</v>
      </c>
      <c r="I90" s="2">
        <v>94</v>
      </c>
      <c r="J90" s="2">
        <v>57</v>
      </c>
      <c r="K90" s="2">
        <v>320</v>
      </c>
      <c r="L90" s="2">
        <v>25</v>
      </c>
    </row>
    <row r="91" spans="2:12" s="4" customFormat="1" ht="9.75" customHeight="1">
      <c r="B91" s="6" t="s">
        <v>118</v>
      </c>
      <c r="C91" s="4">
        <f>C90/50054</f>
        <v>0.8799896112198825</v>
      </c>
      <c r="D91" s="4">
        <f>D90/50054</f>
        <v>0.04636992048587525</v>
      </c>
      <c r="E91" s="4">
        <f>E90/50054</f>
        <v>0.07364046829424221</v>
      </c>
      <c r="F91" s="4">
        <f>F90/45897</f>
        <v>1</v>
      </c>
      <c r="G91" s="4">
        <f>G90/720</f>
        <v>1</v>
      </c>
      <c r="H91" s="4">
        <f>H90/254</f>
        <v>0.40551181102362205</v>
      </c>
      <c r="I91" s="4">
        <f>I90/254</f>
        <v>0.3700787401574803</v>
      </c>
      <c r="J91" s="4">
        <f>J90/254</f>
        <v>0.22440944881889763</v>
      </c>
      <c r="K91" s="4">
        <f>K90/320</f>
        <v>1</v>
      </c>
      <c r="L91" s="4">
        <f>L90/25</f>
        <v>1</v>
      </c>
    </row>
    <row r="92" spans="2:12" ht="4.5" customHeight="1"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9.75" customHeight="1">
      <c r="A93" s="3" t="s">
        <v>52</v>
      </c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9.75" customHeight="1">
      <c r="B94" s="5" t="s">
        <v>43</v>
      </c>
      <c r="C94" s="2">
        <v>20277</v>
      </c>
      <c r="D94" s="2">
        <v>567</v>
      </c>
      <c r="E94" s="2">
        <v>1175</v>
      </c>
      <c r="F94" s="2">
        <v>3376</v>
      </c>
      <c r="G94" s="2">
        <v>128</v>
      </c>
      <c r="H94" s="2">
        <v>277</v>
      </c>
      <c r="I94" s="2">
        <v>94</v>
      </c>
      <c r="J94" s="2">
        <v>70</v>
      </c>
      <c r="K94" s="2">
        <v>92</v>
      </c>
      <c r="L94" s="2">
        <v>47</v>
      </c>
    </row>
    <row r="95" spans="2:12" ht="9.75" customHeight="1">
      <c r="B95" s="5" t="s">
        <v>51</v>
      </c>
      <c r="C95" s="2">
        <v>50738</v>
      </c>
      <c r="D95" s="2">
        <v>1689</v>
      </c>
      <c r="E95" s="2">
        <v>2852</v>
      </c>
      <c r="F95" s="2">
        <v>15513</v>
      </c>
      <c r="G95" s="2">
        <v>422</v>
      </c>
      <c r="H95" s="2">
        <v>291</v>
      </c>
      <c r="I95" s="2">
        <v>143</v>
      </c>
      <c r="J95" s="2">
        <v>60</v>
      </c>
      <c r="K95" s="2">
        <v>195</v>
      </c>
      <c r="L95" s="2">
        <v>45</v>
      </c>
    </row>
    <row r="96" spans="1:12" ht="9.75" customHeight="1">
      <c r="A96" s="3" t="s">
        <v>117</v>
      </c>
      <c r="C96" s="2">
        <v>71015</v>
      </c>
      <c r="D96" s="2">
        <v>2256</v>
      </c>
      <c r="E96" s="2">
        <v>4027</v>
      </c>
      <c r="F96" s="2">
        <v>18889</v>
      </c>
      <c r="G96" s="2">
        <v>550</v>
      </c>
      <c r="H96" s="2">
        <v>568</v>
      </c>
      <c r="I96" s="2">
        <v>237</v>
      </c>
      <c r="J96" s="2">
        <v>130</v>
      </c>
      <c r="K96" s="2">
        <v>287</v>
      </c>
      <c r="L96" s="2">
        <v>92</v>
      </c>
    </row>
    <row r="97" spans="2:12" s="4" customFormat="1" ht="9.75" customHeight="1">
      <c r="B97" s="6" t="s">
        <v>118</v>
      </c>
      <c r="C97" s="4">
        <f>C96/77298</f>
        <v>0.918717172501229</v>
      </c>
      <c r="D97" s="4">
        <f>D96/77298</f>
        <v>0.02918574866102616</v>
      </c>
      <c r="E97" s="4">
        <f>E96/77298</f>
        <v>0.05209707883774483</v>
      </c>
      <c r="F97" s="4">
        <f>F96/18889</f>
        <v>1</v>
      </c>
      <c r="G97" s="4">
        <f>G96/550</f>
        <v>1</v>
      </c>
      <c r="H97" s="4">
        <f>H96/935</f>
        <v>0.6074866310160428</v>
      </c>
      <c r="I97" s="4">
        <f>I96/935</f>
        <v>0.253475935828877</v>
      </c>
      <c r="J97" s="4">
        <f>J96/935</f>
        <v>0.13903743315508021</v>
      </c>
      <c r="K97" s="4">
        <f>K96/287</f>
        <v>1</v>
      </c>
      <c r="L97" s="4">
        <f>L96/92</f>
        <v>1</v>
      </c>
    </row>
    <row r="98" spans="2:12" ht="4.5" customHeight="1">
      <c r="B98" s="7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9.75" customHeight="1">
      <c r="A99" s="3" t="s">
        <v>53</v>
      </c>
      <c r="B99" s="7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9.75" customHeight="1">
      <c r="B100" s="5" t="s">
        <v>45</v>
      </c>
      <c r="C100" s="2">
        <v>54924</v>
      </c>
      <c r="D100" s="2">
        <v>2009</v>
      </c>
      <c r="E100" s="2">
        <v>3939</v>
      </c>
      <c r="F100" s="2">
        <v>16163</v>
      </c>
      <c r="G100" s="2">
        <v>410</v>
      </c>
      <c r="H100" s="2">
        <v>264</v>
      </c>
      <c r="I100" s="2">
        <v>161</v>
      </c>
      <c r="J100" s="2">
        <v>114</v>
      </c>
      <c r="K100" s="2">
        <v>276</v>
      </c>
      <c r="L100" s="2">
        <v>59</v>
      </c>
    </row>
    <row r="101" spans="1:12" ht="9.75" customHeight="1">
      <c r="A101" s="3" t="s">
        <v>117</v>
      </c>
      <c r="C101" s="2">
        <v>54924</v>
      </c>
      <c r="D101" s="2">
        <v>2009</v>
      </c>
      <c r="E101" s="2">
        <v>3939</v>
      </c>
      <c r="F101" s="2">
        <v>16163</v>
      </c>
      <c r="G101" s="2">
        <v>410</v>
      </c>
      <c r="H101" s="2">
        <v>264</v>
      </c>
      <c r="I101" s="2">
        <v>161</v>
      </c>
      <c r="J101" s="2">
        <v>114</v>
      </c>
      <c r="K101" s="2">
        <v>276</v>
      </c>
      <c r="L101" s="2">
        <v>59</v>
      </c>
    </row>
    <row r="102" spans="2:12" s="4" customFormat="1" ht="9.75" customHeight="1">
      <c r="B102" s="6" t="s">
        <v>118</v>
      </c>
      <c r="C102" s="4">
        <f>C101/60872</f>
        <v>0.9022867656722302</v>
      </c>
      <c r="D102" s="4">
        <f>D101/60872</f>
        <v>0.03300367985280589</v>
      </c>
      <c r="E102" s="4">
        <f>E101/60872</f>
        <v>0.06470955447496386</v>
      </c>
      <c r="F102" s="4">
        <f>F101/16163</f>
        <v>1</v>
      </c>
      <c r="G102" s="4">
        <f>G101/410</f>
        <v>1</v>
      </c>
      <c r="H102" s="4">
        <f>H101/539</f>
        <v>0.4897959183673469</v>
      </c>
      <c r="I102" s="4">
        <f>I101/539</f>
        <v>0.2987012987012987</v>
      </c>
      <c r="J102" s="4">
        <f>J101/539</f>
        <v>0.21150278293135436</v>
      </c>
      <c r="K102" s="4">
        <f>K101/276</f>
        <v>1</v>
      </c>
      <c r="L102" s="4">
        <f>L101/59</f>
        <v>1</v>
      </c>
    </row>
    <row r="103" spans="2:12" ht="4.5" customHeight="1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9.75" customHeight="1">
      <c r="A104" s="3" t="s">
        <v>55</v>
      </c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9.75" customHeight="1">
      <c r="B105" s="5" t="s">
        <v>51</v>
      </c>
      <c r="C105" s="2">
        <v>19280</v>
      </c>
      <c r="D105" s="2">
        <v>581</v>
      </c>
      <c r="E105" s="2">
        <v>1039</v>
      </c>
      <c r="F105" s="2">
        <v>7475</v>
      </c>
      <c r="G105" s="2">
        <v>154</v>
      </c>
      <c r="H105" s="2">
        <v>162</v>
      </c>
      <c r="I105" s="2">
        <v>99</v>
      </c>
      <c r="J105" s="2">
        <v>37</v>
      </c>
      <c r="K105" s="2">
        <v>167</v>
      </c>
      <c r="L105" s="2">
        <v>18</v>
      </c>
    </row>
    <row r="106" spans="2:12" ht="9.75" customHeight="1">
      <c r="B106" s="5" t="s">
        <v>49</v>
      </c>
      <c r="C106" s="2">
        <v>35463</v>
      </c>
      <c r="D106" s="2">
        <v>1207</v>
      </c>
      <c r="E106" s="2">
        <v>1970</v>
      </c>
      <c r="F106" s="2">
        <v>16995</v>
      </c>
      <c r="G106" s="2">
        <v>328</v>
      </c>
      <c r="H106" s="2">
        <v>187</v>
      </c>
      <c r="I106" s="2">
        <v>186</v>
      </c>
      <c r="J106" s="2">
        <v>87</v>
      </c>
      <c r="K106" s="2">
        <v>388</v>
      </c>
      <c r="L106" s="2">
        <v>40</v>
      </c>
    </row>
    <row r="107" spans="2:12" ht="9.75" customHeight="1">
      <c r="B107" s="5" t="s">
        <v>54</v>
      </c>
      <c r="C107" s="2">
        <v>8825</v>
      </c>
      <c r="D107" s="2">
        <v>406</v>
      </c>
      <c r="E107" s="2">
        <v>861</v>
      </c>
      <c r="F107" s="2">
        <v>4079</v>
      </c>
      <c r="G107" s="2">
        <v>127</v>
      </c>
      <c r="H107" s="2">
        <v>111</v>
      </c>
      <c r="I107" s="2">
        <v>113</v>
      </c>
      <c r="J107" s="2">
        <v>56</v>
      </c>
      <c r="K107" s="2">
        <v>126</v>
      </c>
      <c r="L107" s="2">
        <v>20</v>
      </c>
    </row>
    <row r="108" spans="1:12" ht="9.75" customHeight="1">
      <c r="A108" s="3" t="s">
        <v>117</v>
      </c>
      <c r="C108" s="2">
        <v>63568</v>
      </c>
      <c r="D108" s="2">
        <v>2194</v>
      </c>
      <c r="E108" s="2">
        <v>3870</v>
      </c>
      <c r="F108" s="2">
        <v>28549</v>
      </c>
      <c r="G108" s="2">
        <v>609</v>
      </c>
      <c r="H108" s="2">
        <v>460</v>
      </c>
      <c r="I108" s="2">
        <v>398</v>
      </c>
      <c r="J108" s="2">
        <v>180</v>
      </c>
      <c r="K108" s="2">
        <v>681</v>
      </c>
      <c r="L108" s="2">
        <v>78</v>
      </c>
    </row>
    <row r="109" spans="2:12" s="4" customFormat="1" ht="9.75" customHeight="1">
      <c r="B109" s="6" t="s">
        <v>118</v>
      </c>
      <c r="C109" s="4">
        <f>C108/69632</f>
        <v>0.9129136029411765</v>
      </c>
      <c r="D109" s="4">
        <f>D108/69632</f>
        <v>0.031508501838235295</v>
      </c>
      <c r="E109" s="4">
        <f>E108/69632</f>
        <v>0.05557789522058824</v>
      </c>
      <c r="F109" s="4">
        <f>F108/28549</f>
        <v>1</v>
      </c>
      <c r="G109" s="4">
        <f>G108/609</f>
        <v>1</v>
      </c>
      <c r="H109" s="4">
        <f>H108/1038</f>
        <v>0.44315992292870904</v>
      </c>
      <c r="I109" s="4">
        <f>I108/1038</f>
        <v>0.3834296724470135</v>
      </c>
      <c r="J109" s="4">
        <f>J108/1038</f>
        <v>0.17341040462427745</v>
      </c>
      <c r="K109" s="4">
        <f>K108/681</f>
        <v>1</v>
      </c>
      <c r="L109" s="4">
        <f>L108/78</f>
        <v>1</v>
      </c>
    </row>
    <row r="110" spans="2:12" ht="4.5" customHeight="1">
      <c r="B110" s="7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9.75" customHeight="1">
      <c r="A111" s="3" t="s">
        <v>56</v>
      </c>
      <c r="B111" s="7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9.75" customHeight="1">
      <c r="B112" s="5" t="s">
        <v>49</v>
      </c>
      <c r="C112" s="2">
        <v>46448</v>
      </c>
      <c r="D112" s="2">
        <v>2350</v>
      </c>
      <c r="E112" s="2">
        <v>3360</v>
      </c>
      <c r="F112" s="2">
        <v>24289</v>
      </c>
      <c r="G112" s="2">
        <v>705</v>
      </c>
      <c r="H112" s="2">
        <v>175</v>
      </c>
      <c r="I112" s="2">
        <v>181</v>
      </c>
      <c r="J112" s="2">
        <v>83</v>
      </c>
      <c r="K112" s="2">
        <v>469</v>
      </c>
      <c r="L112" s="2">
        <v>55</v>
      </c>
    </row>
    <row r="113" spans="1:12" ht="9.75" customHeight="1">
      <c r="A113" s="3" t="s">
        <v>117</v>
      </c>
      <c r="C113" s="2">
        <v>46448</v>
      </c>
      <c r="D113" s="2">
        <v>2350</v>
      </c>
      <c r="E113" s="2">
        <v>3360</v>
      </c>
      <c r="F113" s="2">
        <v>24289</v>
      </c>
      <c r="G113" s="2">
        <v>705</v>
      </c>
      <c r="H113" s="2">
        <v>175</v>
      </c>
      <c r="I113" s="2">
        <v>181</v>
      </c>
      <c r="J113" s="2">
        <v>83</v>
      </c>
      <c r="K113" s="2">
        <v>469</v>
      </c>
      <c r="L113" s="2">
        <v>55</v>
      </c>
    </row>
    <row r="114" spans="2:12" s="4" customFormat="1" ht="9.75" customHeight="1">
      <c r="B114" s="6" t="s">
        <v>118</v>
      </c>
      <c r="C114" s="4">
        <f>C113/52158</f>
        <v>0.8905249434410829</v>
      </c>
      <c r="D114" s="4">
        <f>D113/52158</f>
        <v>0.04505540856627938</v>
      </c>
      <c r="E114" s="4">
        <f>E113/52158</f>
        <v>0.06441964799263776</v>
      </c>
      <c r="F114" s="4">
        <f>F113/24289</f>
        <v>1</v>
      </c>
      <c r="G114" s="4">
        <f>G113/705</f>
        <v>1</v>
      </c>
      <c r="H114" s="4">
        <f>H113/439</f>
        <v>0.39863325740318906</v>
      </c>
      <c r="I114" s="4">
        <f>I113/439</f>
        <v>0.4123006833712984</v>
      </c>
      <c r="J114" s="4">
        <f>J113/439</f>
        <v>0.18906605922551253</v>
      </c>
      <c r="K114" s="4">
        <f>K113/469</f>
        <v>1</v>
      </c>
      <c r="L114" s="4">
        <f>L113/55</f>
        <v>1</v>
      </c>
    </row>
    <row r="115" spans="2:12" ht="4.5" customHeight="1">
      <c r="B115" s="7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9.75" customHeight="1">
      <c r="A116" s="3" t="s">
        <v>57</v>
      </c>
      <c r="B116" s="7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9.75" customHeight="1">
      <c r="B117" s="5" t="s">
        <v>49</v>
      </c>
      <c r="C117" s="2">
        <v>43630</v>
      </c>
      <c r="D117" s="2">
        <v>2209</v>
      </c>
      <c r="E117" s="2">
        <v>3285</v>
      </c>
      <c r="F117" s="2">
        <v>20542</v>
      </c>
      <c r="G117" s="2">
        <v>708</v>
      </c>
      <c r="H117" s="2">
        <v>153</v>
      </c>
      <c r="I117" s="2">
        <v>160</v>
      </c>
      <c r="J117" s="2">
        <v>70</v>
      </c>
      <c r="K117" s="2">
        <v>320</v>
      </c>
      <c r="L117" s="2">
        <v>89</v>
      </c>
    </row>
    <row r="118" spans="1:12" ht="9.75" customHeight="1">
      <c r="A118" s="3" t="s">
        <v>117</v>
      </c>
      <c r="C118" s="2">
        <v>43630</v>
      </c>
      <c r="D118" s="2">
        <v>2209</v>
      </c>
      <c r="E118" s="2">
        <v>3285</v>
      </c>
      <c r="F118" s="2">
        <v>20542</v>
      </c>
      <c r="G118" s="2">
        <v>708</v>
      </c>
      <c r="H118" s="2">
        <v>153</v>
      </c>
      <c r="I118" s="2">
        <v>160</v>
      </c>
      <c r="J118" s="2">
        <v>70</v>
      </c>
      <c r="K118" s="2">
        <v>320</v>
      </c>
      <c r="L118" s="2">
        <v>89</v>
      </c>
    </row>
    <row r="119" spans="2:12" s="4" customFormat="1" ht="9.75" customHeight="1">
      <c r="B119" s="6" t="s">
        <v>118</v>
      </c>
      <c r="C119" s="4">
        <f>C118/49124</f>
        <v>0.8881605732432213</v>
      </c>
      <c r="D119" s="4">
        <f>D118/49124</f>
        <v>0.0449678364953994</v>
      </c>
      <c r="E119" s="4">
        <f>E118/49124</f>
        <v>0.06687159026137937</v>
      </c>
      <c r="F119" s="4">
        <f>F118/20542</f>
        <v>1</v>
      </c>
      <c r="G119" s="4">
        <f>G118/708</f>
        <v>1</v>
      </c>
      <c r="H119" s="4">
        <f>H118/383</f>
        <v>0.39947780678851175</v>
      </c>
      <c r="I119" s="4">
        <f>I118/383</f>
        <v>0.4177545691906005</v>
      </c>
      <c r="J119" s="4">
        <f>J118/383</f>
        <v>0.18276762402088773</v>
      </c>
      <c r="K119" s="4">
        <f>K118/320</f>
        <v>1</v>
      </c>
      <c r="L119" s="4">
        <f>L118/89</f>
        <v>1</v>
      </c>
    </row>
    <row r="120" spans="2:12" ht="4.5" customHeight="1">
      <c r="B120" s="7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9.75" customHeight="1">
      <c r="A121" s="3" t="s">
        <v>60</v>
      </c>
      <c r="B121" s="7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9.75" customHeight="1">
      <c r="B122" s="5" t="s">
        <v>58</v>
      </c>
      <c r="C122" s="2">
        <v>24427</v>
      </c>
      <c r="D122" s="2">
        <v>1504</v>
      </c>
      <c r="E122" s="2">
        <v>1834</v>
      </c>
      <c r="F122" s="2">
        <v>15346</v>
      </c>
      <c r="G122" s="2">
        <v>323</v>
      </c>
      <c r="H122" s="2">
        <v>116</v>
      </c>
      <c r="I122" s="2">
        <v>124</v>
      </c>
      <c r="J122" s="2">
        <v>50</v>
      </c>
      <c r="K122" s="2">
        <v>140</v>
      </c>
      <c r="L122" s="2">
        <v>32</v>
      </c>
    </row>
    <row r="123" spans="2:12" ht="9.75" customHeight="1">
      <c r="B123" s="5" t="s">
        <v>59</v>
      </c>
      <c r="C123" s="2">
        <v>4336</v>
      </c>
      <c r="D123" s="2">
        <v>275</v>
      </c>
      <c r="E123" s="2">
        <v>367</v>
      </c>
      <c r="F123" s="2">
        <v>2965</v>
      </c>
      <c r="G123" s="2">
        <v>87</v>
      </c>
      <c r="H123" s="2">
        <v>15</v>
      </c>
      <c r="I123" s="2">
        <v>13</v>
      </c>
      <c r="J123" s="2">
        <v>3</v>
      </c>
      <c r="K123" s="2">
        <v>26</v>
      </c>
      <c r="L123" s="2">
        <v>4</v>
      </c>
    </row>
    <row r="124" spans="2:12" ht="9.75" customHeight="1">
      <c r="B124" s="5" t="s">
        <v>54</v>
      </c>
      <c r="C124" s="2">
        <v>22352</v>
      </c>
      <c r="D124" s="2">
        <v>867</v>
      </c>
      <c r="E124" s="2">
        <v>1809</v>
      </c>
      <c r="F124" s="2">
        <v>6368</v>
      </c>
      <c r="G124" s="2">
        <v>233</v>
      </c>
      <c r="H124" s="2">
        <v>302</v>
      </c>
      <c r="I124" s="2">
        <v>246</v>
      </c>
      <c r="J124" s="2">
        <v>139</v>
      </c>
      <c r="K124" s="2">
        <v>178</v>
      </c>
      <c r="L124" s="2">
        <v>68</v>
      </c>
    </row>
    <row r="125" spans="1:12" ht="9.75" customHeight="1">
      <c r="A125" s="3" t="s">
        <v>117</v>
      </c>
      <c r="C125" s="2">
        <v>51115</v>
      </c>
      <c r="D125" s="2">
        <v>2646</v>
      </c>
      <c r="E125" s="2">
        <v>4010</v>
      </c>
      <c r="F125" s="2">
        <v>24679</v>
      </c>
      <c r="G125" s="2">
        <v>643</v>
      </c>
      <c r="H125" s="2">
        <v>433</v>
      </c>
      <c r="I125" s="2">
        <v>383</v>
      </c>
      <c r="J125" s="2">
        <v>192</v>
      </c>
      <c r="K125" s="2">
        <v>344</v>
      </c>
      <c r="L125" s="2">
        <v>104</v>
      </c>
    </row>
    <row r="126" spans="2:12" s="4" customFormat="1" ht="9.75" customHeight="1">
      <c r="B126" s="6" t="s">
        <v>118</v>
      </c>
      <c r="C126" s="4">
        <f>C125/57771</f>
        <v>0.884786484568382</v>
      </c>
      <c r="D126" s="4">
        <f>D125/57771</f>
        <v>0.04580152671755725</v>
      </c>
      <c r="E126" s="4">
        <f>E125/57771</f>
        <v>0.0694119887140607</v>
      </c>
      <c r="F126" s="4">
        <f>F125/24679</f>
        <v>1</v>
      </c>
      <c r="G126" s="4">
        <f>G125/643</f>
        <v>1</v>
      </c>
      <c r="H126" s="4">
        <f>H125/1008</f>
        <v>0.42956349206349204</v>
      </c>
      <c r="I126" s="4">
        <f>I125/1008</f>
        <v>0.37996031746031744</v>
      </c>
      <c r="J126" s="4">
        <f>J125/1008</f>
        <v>0.19047619047619047</v>
      </c>
      <c r="K126" s="4">
        <f>K125/344</f>
        <v>1</v>
      </c>
      <c r="L126" s="4">
        <f>L125/104</f>
        <v>1</v>
      </c>
    </row>
    <row r="127" spans="2:12" ht="4.5" customHeight="1"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9.75" customHeight="1">
      <c r="A128" s="3" t="s">
        <v>65</v>
      </c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9.75" customHeight="1">
      <c r="B129" s="5" t="s">
        <v>61</v>
      </c>
      <c r="C129" s="2">
        <v>155</v>
      </c>
      <c r="D129" s="2">
        <v>17</v>
      </c>
      <c r="E129" s="2">
        <v>19</v>
      </c>
      <c r="F129" s="2">
        <v>256</v>
      </c>
      <c r="G129" s="2">
        <v>2</v>
      </c>
      <c r="H129" s="2">
        <v>0</v>
      </c>
      <c r="I129" s="2">
        <v>0</v>
      </c>
      <c r="J129" s="2">
        <v>1</v>
      </c>
      <c r="K129" s="2">
        <v>0</v>
      </c>
      <c r="L129" s="2">
        <v>0</v>
      </c>
    </row>
    <row r="130" spans="2:12" ht="9.75" customHeight="1">
      <c r="B130" s="5" t="s">
        <v>62</v>
      </c>
      <c r="C130" s="2">
        <v>43</v>
      </c>
      <c r="D130" s="2">
        <v>10</v>
      </c>
      <c r="E130" s="2">
        <v>5</v>
      </c>
      <c r="F130" s="2">
        <v>121</v>
      </c>
      <c r="G130" s="2">
        <v>1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</row>
    <row r="131" spans="2:12" ht="9.75" customHeight="1">
      <c r="B131" s="5" t="s">
        <v>63</v>
      </c>
      <c r="C131" s="2">
        <v>8579</v>
      </c>
      <c r="D131" s="2">
        <v>605</v>
      </c>
      <c r="E131" s="2">
        <v>1249</v>
      </c>
      <c r="F131" s="2">
        <v>8463</v>
      </c>
      <c r="G131" s="2">
        <v>168</v>
      </c>
      <c r="H131" s="2">
        <v>17</v>
      </c>
      <c r="I131" s="2">
        <v>20</v>
      </c>
      <c r="J131" s="2">
        <v>10</v>
      </c>
      <c r="K131" s="2">
        <v>43</v>
      </c>
      <c r="L131" s="2">
        <v>8</v>
      </c>
    </row>
    <row r="132" spans="2:12" ht="9.75" customHeight="1">
      <c r="B132" s="5" t="s">
        <v>48</v>
      </c>
      <c r="C132" s="2">
        <v>8300</v>
      </c>
      <c r="D132" s="2">
        <v>547</v>
      </c>
      <c r="E132" s="2">
        <v>797</v>
      </c>
      <c r="F132" s="2">
        <v>3255</v>
      </c>
      <c r="G132" s="2">
        <v>93</v>
      </c>
      <c r="H132" s="2">
        <v>13</v>
      </c>
      <c r="I132" s="2">
        <v>17</v>
      </c>
      <c r="J132" s="2">
        <v>6</v>
      </c>
      <c r="K132" s="2">
        <v>22</v>
      </c>
      <c r="L132" s="2">
        <v>22</v>
      </c>
    </row>
    <row r="133" spans="2:12" ht="9.75" customHeight="1">
      <c r="B133" s="5" t="s">
        <v>64</v>
      </c>
      <c r="C133" s="2">
        <v>11021</v>
      </c>
      <c r="D133" s="2">
        <v>956</v>
      </c>
      <c r="E133" s="2">
        <v>1284</v>
      </c>
      <c r="F133" s="2">
        <v>7920</v>
      </c>
      <c r="G133" s="2">
        <v>203</v>
      </c>
      <c r="H133" s="2">
        <v>25</v>
      </c>
      <c r="I133" s="2">
        <v>23</v>
      </c>
      <c r="J133" s="2">
        <v>8</v>
      </c>
      <c r="K133" s="2">
        <v>60</v>
      </c>
      <c r="L133" s="2">
        <v>24</v>
      </c>
    </row>
    <row r="134" spans="1:12" ht="9.75" customHeight="1">
      <c r="A134" s="3" t="s">
        <v>117</v>
      </c>
      <c r="C134" s="2">
        <v>28098</v>
      </c>
      <c r="D134" s="2">
        <v>2135</v>
      </c>
      <c r="E134" s="2">
        <v>3354</v>
      </c>
      <c r="F134" s="2">
        <v>20015</v>
      </c>
      <c r="G134" s="2">
        <v>467</v>
      </c>
      <c r="H134" s="2">
        <v>55</v>
      </c>
      <c r="I134" s="2">
        <v>60</v>
      </c>
      <c r="J134" s="2">
        <v>25</v>
      </c>
      <c r="K134" s="2">
        <v>125</v>
      </c>
      <c r="L134" s="2">
        <v>54</v>
      </c>
    </row>
    <row r="135" spans="2:12" s="4" customFormat="1" ht="9.75" customHeight="1">
      <c r="B135" s="6" t="s">
        <v>118</v>
      </c>
      <c r="C135" s="4">
        <f>C134/33587</f>
        <v>0.8365736743382857</v>
      </c>
      <c r="D135" s="4">
        <f>D134/33587</f>
        <v>0.0635662607556495</v>
      </c>
      <c r="E135" s="4">
        <f>E134/33587</f>
        <v>0.09986006490606485</v>
      </c>
      <c r="F135" s="4">
        <f>F134/20015</f>
        <v>1</v>
      </c>
      <c r="G135" s="4">
        <f>G134/467</f>
        <v>1</v>
      </c>
      <c r="H135" s="4">
        <f>H134/140</f>
        <v>0.39285714285714285</v>
      </c>
      <c r="I135" s="4">
        <f>I134/140</f>
        <v>0.42857142857142855</v>
      </c>
      <c r="J135" s="4">
        <f>J134/140</f>
        <v>0.17857142857142858</v>
      </c>
      <c r="K135" s="4">
        <f>K134/125</f>
        <v>1</v>
      </c>
      <c r="L135" s="4">
        <f>L134/54</f>
        <v>1</v>
      </c>
    </row>
    <row r="136" spans="2:12" ht="4.5" customHeight="1">
      <c r="B136" s="7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9.75" customHeight="1">
      <c r="A137" s="3" t="s">
        <v>68</v>
      </c>
      <c r="B137" s="7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9.75" customHeight="1">
      <c r="B138" s="5" t="s">
        <v>61</v>
      </c>
      <c r="C138" s="2">
        <v>13422</v>
      </c>
      <c r="D138" s="2">
        <v>715</v>
      </c>
      <c r="E138" s="2">
        <v>1277</v>
      </c>
      <c r="F138" s="2">
        <v>15887</v>
      </c>
      <c r="G138" s="2">
        <v>161</v>
      </c>
      <c r="H138" s="2">
        <v>61</v>
      </c>
      <c r="I138" s="2">
        <v>54</v>
      </c>
      <c r="J138" s="2">
        <v>18</v>
      </c>
      <c r="K138" s="2">
        <v>87</v>
      </c>
      <c r="L138" s="2">
        <v>19</v>
      </c>
    </row>
    <row r="139" spans="2:12" ht="9.75" customHeight="1">
      <c r="B139" s="5" t="s">
        <v>62</v>
      </c>
      <c r="C139" s="2">
        <v>5414</v>
      </c>
      <c r="D139" s="2">
        <v>578</v>
      </c>
      <c r="E139" s="2">
        <v>781</v>
      </c>
      <c r="F139" s="2">
        <v>8490</v>
      </c>
      <c r="G139" s="2">
        <v>178</v>
      </c>
      <c r="H139" s="2">
        <v>24</v>
      </c>
      <c r="I139" s="2">
        <v>32</v>
      </c>
      <c r="J139" s="2">
        <v>4</v>
      </c>
      <c r="K139" s="2">
        <v>65</v>
      </c>
      <c r="L139" s="2">
        <v>9</v>
      </c>
    </row>
    <row r="140" spans="2:12" ht="9.75" customHeight="1">
      <c r="B140" s="5" t="s">
        <v>66</v>
      </c>
      <c r="C140" s="2">
        <v>1532</v>
      </c>
      <c r="D140" s="2">
        <v>147</v>
      </c>
      <c r="E140" s="2">
        <v>238</v>
      </c>
      <c r="F140" s="2">
        <v>2345</v>
      </c>
      <c r="G140" s="2">
        <v>57</v>
      </c>
      <c r="H140" s="2">
        <v>17</v>
      </c>
      <c r="I140" s="2">
        <v>23</v>
      </c>
      <c r="J140" s="2">
        <v>1</v>
      </c>
      <c r="K140" s="2">
        <v>24</v>
      </c>
      <c r="L140" s="2">
        <v>2</v>
      </c>
    </row>
    <row r="141" spans="2:12" ht="9.75" customHeight="1">
      <c r="B141" s="5" t="s">
        <v>64</v>
      </c>
      <c r="C141" s="2">
        <v>12515</v>
      </c>
      <c r="D141" s="2">
        <v>1286</v>
      </c>
      <c r="E141" s="2">
        <v>1569</v>
      </c>
      <c r="F141" s="2">
        <v>16193</v>
      </c>
      <c r="G141" s="2">
        <v>274</v>
      </c>
      <c r="H141" s="2">
        <v>20</v>
      </c>
      <c r="I141" s="2">
        <v>22</v>
      </c>
      <c r="J141" s="2">
        <v>8</v>
      </c>
      <c r="K141" s="2">
        <v>74</v>
      </c>
      <c r="L141" s="2">
        <v>24</v>
      </c>
    </row>
    <row r="142" spans="2:12" ht="9.75" customHeight="1">
      <c r="B142" s="5" t="s">
        <v>67</v>
      </c>
      <c r="C142" s="2">
        <v>5157</v>
      </c>
      <c r="D142" s="2">
        <v>385</v>
      </c>
      <c r="E142" s="2">
        <v>539</v>
      </c>
      <c r="F142" s="2">
        <v>6025</v>
      </c>
      <c r="G142" s="2">
        <v>117</v>
      </c>
      <c r="H142" s="2">
        <v>22</v>
      </c>
      <c r="I142" s="2">
        <v>37</v>
      </c>
      <c r="J142" s="2">
        <v>11</v>
      </c>
      <c r="K142" s="2">
        <v>55</v>
      </c>
      <c r="L142" s="2">
        <v>9</v>
      </c>
    </row>
    <row r="143" spans="1:12" ht="9.75" customHeight="1">
      <c r="A143" s="3" t="s">
        <v>117</v>
      </c>
      <c r="C143" s="2">
        <v>38040</v>
      </c>
      <c r="D143" s="2">
        <v>3111</v>
      </c>
      <c r="E143" s="2">
        <v>4404</v>
      </c>
      <c r="F143" s="2">
        <v>48940</v>
      </c>
      <c r="G143" s="2">
        <v>787</v>
      </c>
      <c r="H143" s="2">
        <v>144</v>
      </c>
      <c r="I143" s="2">
        <v>168</v>
      </c>
      <c r="J143" s="2">
        <v>42</v>
      </c>
      <c r="K143" s="2">
        <v>305</v>
      </c>
      <c r="L143" s="2">
        <v>63</v>
      </c>
    </row>
    <row r="144" spans="2:12" s="4" customFormat="1" ht="9.75" customHeight="1">
      <c r="B144" s="6" t="s">
        <v>118</v>
      </c>
      <c r="C144" s="4">
        <f>C143/45555</f>
        <v>0.8350345735923609</v>
      </c>
      <c r="D144" s="4">
        <f>D143/45555</f>
        <v>0.0682910767204478</v>
      </c>
      <c r="E144" s="4">
        <f>E143/45555</f>
        <v>0.09667434968719131</v>
      </c>
      <c r="F144" s="4">
        <f>F143/48940</f>
        <v>1</v>
      </c>
      <c r="G144" s="4">
        <f>G143/787</f>
        <v>1</v>
      </c>
      <c r="H144" s="4">
        <f>H143/354</f>
        <v>0.4067796610169492</v>
      </c>
      <c r="I144" s="4">
        <f>I143/354</f>
        <v>0.4745762711864407</v>
      </c>
      <c r="J144" s="4">
        <f>J143/354</f>
        <v>0.11864406779661017</v>
      </c>
      <c r="K144" s="4">
        <f>K143/305</f>
        <v>1</v>
      </c>
      <c r="L144" s="4">
        <f>L143/63</f>
        <v>1</v>
      </c>
    </row>
    <row r="145" spans="2:12" ht="4.5" customHeight="1">
      <c r="B145" s="7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9.75" customHeight="1">
      <c r="A146" s="3" t="s">
        <v>71</v>
      </c>
      <c r="B146" s="7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9.75" customHeight="1">
      <c r="B147" s="5" t="s">
        <v>61</v>
      </c>
      <c r="C147" s="2">
        <v>9986</v>
      </c>
      <c r="D147" s="2">
        <v>885</v>
      </c>
      <c r="E147" s="2">
        <v>978</v>
      </c>
      <c r="F147" s="2">
        <v>4667</v>
      </c>
      <c r="G147" s="2">
        <v>106</v>
      </c>
      <c r="H147" s="2">
        <v>25</v>
      </c>
      <c r="I147" s="2">
        <v>21</v>
      </c>
      <c r="J147" s="2">
        <v>7</v>
      </c>
      <c r="K147" s="2">
        <v>31</v>
      </c>
      <c r="L147" s="2">
        <v>21</v>
      </c>
    </row>
    <row r="148" spans="2:12" ht="9.75" customHeight="1">
      <c r="B148" s="5" t="s">
        <v>69</v>
      </c>
      <c r="C148" s="2">
        <v>6228</v>
      </c>
      <c r="D148" s="2">
        <v>676</v>
      </c>
      <c r="E148" s="2">
        <v>628</v>
      </c>
      <c r="F148" s="2">
        <v>3341</v>
      </c>
      <c r="G148" s="2">
        <v>64</v>
      </c>
      <c r="H148" s="2">
        <v>2</v>
      </c>
      <c r="I148" s="2">
        <v>6</v>
      </c>
      <c r="J148" s="2">
        <v>0</v>
      </c>
      <c r="K148" s="2">
        <v>14</v>
      </c>
      <c r="L148" s="2">
        <v>5</v>
      </c>
    </row>
    <row r="149" spans="2:12" ht="9.75" customHeight="1">
      <c r="B149" s="5" t="s">
        <v>70</v>
      </c>
      <c r="C149" s="2">
        <v>4617</v>
      </c>
      <c r="D149" s="2">
        <v>450</v>
      </c>
      <c r="E149" s="2">
        <v>553</v>
      </c>
      <c r="F149" s="2">
        <v>6144</v>
      </c>
      <c r="G149" s="2">
        <v>103</v>
      </c>
      <c r="H149" s="2">
        <v>7</v>
      </c>
      <c r="I149" s="2">
        <v>7</v>
      </c>
      <c r="J149" s="2">
        <v>2</v>
      </c>
      <c r="K149" s="2">
        <v>20</v>
      </c>
      <c r="L149" s="2">
        <v>0</v>
      </c>
    </row>
    <row r="150" spans="1:12" ht="9.75" customHeight="1">
      <c r="A150" s="3" t="s">
        <v>117</v>
      </c>
      <c r="C150" s="2">
        <v>20831</v>
      </c>
      <c r="D150" s="2">
        <v>2011</v>
      </c>
      <c r="E150" s="2">
        <v>2159</v>
      </c>
      <c r="F150" s="2">
        <v>14152</v>
      </c>
      <c r="G150" s="2">
        <v>273</v>
      </c>
      <c r="H150" s="2">
        <v>34</v>
      </c>
      <c r="I150" s="2">
        <v>34</v>
      </c>
      <c r="J150" s="2">
        <v>9</v>
      </c>
      <c r="K150" s="2">
        <v>65</v>
      </c>
      <c r="L150" s="2">
        <v>26</v>
      </c>
    </row>
    <row r="151" spans="2:12" s="4" customFormat="1" ht="9.75" customHeight="1">
      <c r="B151" s="6" t="s">
        <v>118</v>
      </c>
      <c r="C151" s="4">
        <f>C150/25001</f>
        <v>0.8332066717331307</v>
      </c>
      <c r="D151" s="4">
        <f>D150/25001</f>
        <v>0.08043678252869885</v>
      </c>
      <c r="E151" s="4">
        <f>E150/25001</f>
        <v>0.08635654573817048</v>
      </c>
      <c r="F151" s="4">
        <f>F150/14152</f>
        <v>1</v>
      </c>
      <c r="G151" s="4">
        <f>G150/273</f>
        <v>1</v>
      </c>
      <c r="H151" s="4">
        <f>H150/77</f>
        <v>0.44155844155844154</v>
      </c>
      <c r="I151" s="4">
        <f>I150/77</f>
        <v>0.44155844155844154</v>
      </c>
      <c r="J151" s="4">
        <f>J150/77</f>
        <v>0.11688311688311688</v>
      </c>
      <c r="K151" s="4">
        <f>K150/65</f>
        <v>1</v>
      </c>
      <c r="L151" s="4">
        <f>L150/26</f>
        <v>1</v>
      </c>
    </row>
    <row r="152" spans="2:12" ht="4.5" customHeight="1"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9.75" customHeight="1">
      <c r="A153" s="3" t="s">
        <v>73</v>
      </c>
      <c r="B153" s="7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ht="9.75" customHeight="1">
      <c r="B154" s="5" t="s">
        <v>61</v>
      </c>
      <c r="C154" s="2">
        <v>13188</v>
      </c>
      <c r="D154" s="2">
        <v>996</v>
      </c>
      <c r="E154" s="2">
        <v>1623</v>
      </c>
      <c r="F154" s="2">
        <v>19894</v>
      </c>
      <c r="G154" s="2">
        <v>242</v>
      </c>
      <c r="H154" s="2">
        <v>41</v>
      </c>
      <c r="I154" s="2">
        <v>34</v>
      </c>
      <c r="J154" s="2">
        <v>22</v>
      </c>
      <c r="K154" s="2">
        <v>90</v>
      </c>
      <c r="L154" s="2">
        <v>17</v>
      </c>
    </row>
    <row r="155" spans="2:12" ht="9.75" customHeight="1">
      <c r="B155" s="5" t="s">
        <v>72</v>
      </c>
      <c r="C155" s="2">
        <v>12137</v>
      </c>
      <c r="D155" s="2">
        <v>1377</v>
      </c>
      <c r="E155" s="2">
        <v>1490</v>
      </c>
      <c r="F155" s="2">
        <v>19588</v>
      </c>
      <c r="G155" s="2">
        <v>323</v>
      </c>
      <c r="H155" s="2">
        <v>45</v>
      </c>
      <c r="I155" s="2">
        <v>49</v>
      </c>
      <c r="J155" s="2">
        <v>21</v>
      </c>
      <c r="K155" s="2">
        <v>80</v>
      </c>
      <c r="L155" s="2">
        <v>11</v>
      </c>
    </row>
    <row r="156" spans="1:12" ht="9.75" customHeight="1">
      <c r="A156" s="3" t="s">
        <v>117</v>
      </c>
      <c r="C156" s="2">
        <v>25325</v>
      </c>
      <c r="D156" s="2">
        <v>2373</v>
      </c>
      <c r="E156" s="2">
        <v>3113</v>
      </c>
      <c r="F156" s="2">
        <v>39482</v>
      </c>
      <c r="G156" s="2">
        <v>565</v>
      </c>
      <c r="H156" s="2">
        <v>86</v>
      </c>
      <c r="I156" s="2">
        <v>83</v>
      </c>
      <c r="J156" s="2">
        <v>43</v>
      </c>
      <c r="K156" s="2">
        <v>170</v>
      </c>
      <c r="L156" s="2">
        <v>28</v>
      </c>
    </row>
    <row r="157" spans="2:12" s="4" customFormat="1" ht="9.75" customHeight="1">
      <c r="B157" s="6" t="s">
        <v>118</v>
      </c>
      <c r="C157" s="4">
        <f>C156/30811</f>
        <v>0.8219467073447795</v>
      </c>
      <c r="D157" s="4">
        <f>D156/30811</f>
        <v>0.07701794813540619</v>
      </c>
      <c r="E157" s="4">
        <f>E156/30811</f>
        <v>0.10103534451981436</v>
      </c>
      <c r="F157" s="4">
        <f>F156/39482</f>
        <v>1</v>
      </c>
      <c r="G157" s="4">
        <f>G156/565</f>
        <v>1</v>
      </c>
      <c r="H157" s="4">
        <f>H156/212</f>
        <v>0.4056603773584906</v>
      </c>
      <c r="I157" s="4">
        <f>I156/212</f>
        <v>0.3915094339622642</v>
      </c>
      <c r="J157" s="4">
        <f>J156/212</f>
        <v>0.2028301886792453</v>
      </c>
      <c r="K157" s="4">
        <f>K156/170</f>
        <v>1</v>
      </c>
      <c r="L157" s="4">
        <f>L156/28</f>
        <v>1</v>
      </c>
    </row>
    <row r="158" spans="2:12" ht="4.5" customHeight="1"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9.75" customHeight="1">
      <c r="A159" s="3" t="s">
        <v>76</v>
      </c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ht="9.75" customHeight="1">
      <c r="B160" s="5" t="s">
        <v>69</v>
      </c>
      <c r="C160" s="2">
        <v>20208</v>
      </c>
      <c r="D160" s="2">
        <v>2241</v>
      </c>
      <c r="E160" s="2">
        <v>3468</v>
      </c>
      <c r="F160" s="2">
        <v>46845</v>
      </c>
      <c r="G160" s="2">
        <v>749</v>
      </c>
      <c r="H160" s="2">
        <v>54</v>
      </c>
      <c r="I160" s="2">
        <v>70</v>
      </c>
      <c r="J160" s="2">
        <v>27</v>
      </c>
      <c r="K160" s="2">
        <v>273</v>
      </c>
      <c r="L160" s="2">
        <v>33</v>
      </c>
    </row>
    <row r="161" spans="2:12" ht="9.75" customHeight="1">
      <c r="B161" s="5" t="s">
        <v>74</v>
      </c>
      <c r="C161" s="2">
        <v>2153</v>
      </c>
      <c r="D161" s="2">
        <v>224</v>
      </c>
      <c r="E161" s="2">
        <v>320</v>
      </c>
      <c r="F161" s="2">
        <v>4210</v>
      </c>
      <c r="G161" s="2">
        <v>84</v>
      </c>
      <c r="H161" s="2">
        <v>9</v>
      </c>
      <c r="I161" s="2">
        <v>6</v>
      </c>
      <c r="J161" s="2">
        <v>1</v>
      </c>
      <c r="K161" s="2">
        <v>27</v>
      </c>
      <c r="L161" s="2">
        <v>2</v>
      </c>
    </row>
    <row r="162" spans="2:12" ht="9.75" customHeight="1">
      <c r="B162" s="5" t="s">
        <v>75</v>
      </c>
      <c r="C162" s="2">
        <v>8611</v>
      </c>
      <c r="D162" s="2">
        <v>575</v>
      </c>
      <c r="E162" s="2">
        <v>820</v>
      </c>
      <c r="F162" s="2">
        <v>13477</v>
      </c>
      <c r="G162" s="2">
        <v>215</v>
      </c>
      <c r="H162" s="2">
        <v>60</v>
      </c>
      <c r="I162" s="2">
        <v>62</v>
      </c>
      <c r="J162" s="2">
        <v>46</v>
      </c>
      <c r="K162" s="2">
        <v>113</v>
      </c>
      <c r="L162" s="2">
        <v>11</v>
      </c>
    </row>
    <row r="163" spans="1:12" ht="9.75" customHeight="1">
      <c r="A163" s="3" t="s">
        <v>117</v>
      </c>
      <c r="C163" s="2">
        <v>30972</v>
      </c>
      <c r="D163" s="2">
        <v>3040</v>
      </c>
      <c r="E163" s="2">
        <v>4608</v>
      </c>
      <c r="F163" s="2">
        <v>64532</v>
      </c>
      <c r="G163" s="2">
        <v>1048</v>
      </c>
      <c r="H163" s="2">
        <v>123</v>
      </c>
      <c r="I163" s="2">
        <v>138</v>
      </c>
      <c r="J163" s="2">
        <v>74</v>
      </c>
      <c r="K163" s="2">
        <v>413</v>
      </c>
      <c r="L163" s="2">
        <v>46</v>
      </c>
    </row>
    <row r="164" spans="2:12" s="4" customFormat="1" ht="9.75" customHeight="1">
      <c r="B164" s="6" t="s">
        <v>118</v>
      </c>
      <c r="C164" s="4">
        <f>C163/38620</f>
        <v>0.8019678922837907</v>
      </c>
      <c r="D164" s="4">
        <f>D163/38620</f>
        <v>0.07871569135163128</v>
      </c>
      <c r="E164" s="4">
        <f>E163/38620</f>
        <v>0.11931641636457795</v>
      </c>
      <c r="F164" s="4">
        <f>F163/64532</f>
        <v>1</v>
      </c>
      <c r="G164" s="4">
        <f>G163/1048</f>
        <v>1</v>
      </c>
      <c r="H164" s="4">
        <f>H163/335</f>
        <v>0.36716417910447763</v>
      </c>
      <c r="I164" s="4">
        <f>I163/335</f>
        <v>0.41194029850746267</v>
      </c>
      <c r="J164" s="4">
        <f>J163/335</f>
        <v>0.2208955223880597</v>
      </c>
      <c r="K164" s="4">
        <f>K163/413</f>
        <v>1</v>
      </c>
      <c r="L164" s="4">
        <f>L163/46</f>
        <v>1</v>
      </c>
    </row>
    <row r="165" spans="2:12" ht="4.5" customHeight="1">
      <c r="B165" s="7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9.75" customHeight="1">
      <c r="A166" s="3" t="s">
        <v>79</v>
      </c>
      <c r="B166" s="7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9.75" customHeight="1">
      <c r="B167" s="5" t="s">
        <v>75</v>
      </c>
      <c r="C167" s="2">
        <v>13302</v>
      </c>
      <c r="D167" s="2">
        <v>535</v>
      </c>
      <c r="E167" s="2">
        <v>986</v>
      </c>
      <c r="F167" s="2">
        <v>10643</v>
      </c>
      <c r="G167" s="2">
        <v>179</v>
      </c>
      <c r="H167" s="2">
        <v>87</v>
      </c>
      <c r="I167" s="2">
        <v>129</v>
      </c>
      <c r="J167" s="2">
        <v>91</v>
      </c>
      <c r="K167" s="2">
        <v>148</v>
      </c>
      <c r="L167" s="2">
        <v>19</v>
      </c>
    </row>
    <row r="168" spans="2:12" ht="9.75" customHeight="1">
      <c r="B168" s="5" t="s">
        <v>77</v>
      </c>
      <c r="C168" s="2">
        <v>25411</v>
      </c>
      <c r="D168" s="2">
        <v>1105</v>
      </c>
      <c r="E168" s="2">
        <v>2032</v>
      </c>
      <c r="F168" s="2">
        <v>17250</v>
      </c>
      <c r="G168" s="2">
        <v>253</v>
      </c>
      <c r="H168" s="2">
        <v>158</v>
      </c>
      <c r="I168" s="2">
        <v>183</v>
      </c>
      <c r="J168" s="2">
        <v>94</v>
      </c>
      <c r="K168" s="2">
        <v>189</v>
      </c>
      <c r="L168" s="2">
        <v>32</v>
      </c>
    </row>
    <row r="169" spans="2:12" ht="9.75" customHeight="1">
      <c r="B169" s="5" t="s">
        <v>78</v>
      </c>
      <c r="C169" s="2">
        <v>10802</v>
      </c>
      <c r="D169" s="2">
        <v>748</v>
      </c>
      <c r="E169" s="2">
        <v>1094</v>
      </c>
      <c r="F169" s="2">
        <v>5769</v>
      </c>
      <c r="G169" s="2">
        <v>145</v>
      </c>
      <c r="H169" s="2">
        <v>36</v>
      </c>
      <c r="I169" s="2">
        <v>34</v>
      </c>
      <c r="J169" s="2">
        <v>18</v>
      </c>
      <c r="K169" s="2">
        <v>69</v>
      </c>
      <c r="L169" s="2">
        <v>30</v>
      </c>
    </row>
    <row r="170" spans="1:12" ht="9.75" customHeight="1">
      <c r="A170" s="3" t="s">
        <v>117</v>
      </c>
      <c r="C170" s="2">
        <v>49515</v>
      </c>
      <c r="D170" s="2">
        <v>2388</v>
      </c>
      <c r="E170" s="2">
        <v>4112</v>
      </c>
      <c r="F170" s="2">
        <v>33662</v>
      </c>
      <c r="G170" s="2">
        <v>577</v>
      </c>
      <c r="H170" s="2">
        <v>281</v>
      </c>
      <c r="I170" s="2">
        <v>346</v>
      </c>
      <c r="J170" s="2">
        <v>203</v>
      </c>
      <c r="K170" s="2">
        <v>406</v>
      </c>
      <c r="L170" s="2">
        <v>81</v>
      </c>
    </row>
    <row r="171" spans="2:12" s="4" customFormat="1" ht="9.75" customHeight="1">
      <c r="B171" s="6" t="s">
        <v>118</v>
      </c>
      <c r="C171" s="4">
        <f>C170/56015</f>
        <v>0.883959653664197</v>
      </c>
      <c r="D171" s="4">
        <f>D170/56015</f>
        <v>0.04263143800767651</v>
      </c>
      <c r="E171" s="4">
        <f>E170/56015</f>
        <v>0.0734089083281264</v>
      </c>
      <c r="F171" s="4">
        <f>F170/33662</f>
        <v>1</v>
      </c>
      <c r="G171" s="4">
        <f>G170/577</f>
        <v>1</v>
      </c>
      <c r="H171" s="4">
        <f>H170/830</f>
        <v>0.3385542168674699</v>
      </c>
      <c r="I171" s="4">
        <f>I170/830</f>
        <v>0.41686746987951806</v>
      </c>
      <c r="J171" s="4">
        <f>J170/830</f>
        <v>0.24457831325301205</v>
      </c>
      <c r="K171" s="4">
        <f>K170/406</f>
        <v>1</v>
      </c>
      <c r="L171" s="4">
        <f>L170/81</f>
        <v>1</v>
      </c>
    </row>
    <row r="172" spans="2:12" ht="4.5" customHeight="1">
      <c r="B172" s="7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9.75" customHeight="1">
      <c r="A173" s="3" t="s">
        <v>80</v>
      </c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9.75" customHeight="1">
      <c r="B174" s="5" t="s">
        <v>77</v>
      </c>
      <c r="C174" s="2">
        <v>7398</v>
      </c>
      <c r="D174" s="2">
        <v>736</v>
      </c>
      <c r="E174" s="2">
        <v>954</v>
      </c>
      <c r="F174" s="2">
        <v>12169</v>
      </c>
      <c r="G174" s="2">
        <v>198</v>
      </c>
      <c r="H174" s="2">
        <v>33</v>
      </c>
      <c r="I174" s="2">
        <v>40</v>
      </c>
      <c r="J174" s="2">
        <v>17</v>
      </c>
      <c r="K174" s="2">
        <v>83</v>
      </c>
      <c r="L174" s="2">
        <v>14</v>
      </c>
    </row>
    <row r="175" spans="2:12" ht="9.75" customHeight="1">
      <c r="B175" s="5" t="s">
        <v>78</v>
      </c>
      <c r="C175" s="2">
        <v>33314</v>
      </c>
      <c r="D175" s="2">
        <v>2333</v>
      </c>
      <c r="E175" s="2">
        <v>3299</v>
      </c>
      <c r="F175" s="2">
        <v>38557</v>
      </c>
      <c r="G175" s="2">
        <v>525</v>
      </c>
      <c r="H175" s="2">
        <v>160</v>
      </c>
      <c r="I175" s="2">
        <v>173</v>
      </c>
      <c r="J175" s="2">
        <v>73</v>
      </c>
      <c r="K175" s="2">
        <v>355</v>
      </c>
      <c r="L175" s="2">
        <v>45</v>
      </c>
    </row>
    <row r="176" spans="1:12" ht="9.75" customHeight="1">
      <c r="A176" s="3" t="s">
        <v>117</v>
      </c>
      <c r="C176" s="2">
        <v>40712</v>
      </c>
      <c r="D176" s="2">
        <v>3069</v>
      </c>
      <c r="E176" s="2">
        <v>4253</v>
      </c>
      <c r="F176" s="2">
        <v>50726</v>
      </c>
      <c r="G176" s="2">
        <v>723</v>
      </c>
      <c r="H176" s="2">
        <v>193</v>
      </c>
      <c r="I176" s="2">
        <v>213</v>
      </c>
      <c r="J176" s="2">
        <v>90</v>
      </c>
      <c r="K176" s="2">
        <v>438</v>
      </c>
      <c r="L176" s="2">
        <v>59</v>
      </c>
    </row>
    <row r="177" spans="2:12" s="4" customFormat="1" ht="9.75" customHeight="1">
      <c r="B177" s="6" t="s">
        <v>118</v>
      </c>
      <c r="C177" s="4">
        <f>C176/48034</f>
        <v>0.8475663071990673</v>
      </c>
      <c r="D177" s="4">
        <f>D176/48034</f>
        <v>0.06389224299454553</v>
      </c>
      <c r="E177" s="4">
        <f>E176/48034</f>
        <v>0.08854144980638715</v>
      </c>
      <c r="F177" s="4">
        <f>F176/50726</f>
        <v>1</v>
      </c>
      <c r="G177" s="4">
        <f>G176/723</f>
        <v>1</v>
      </c>
      <c r="H177" s="4">
        <f>H176/496</f>
        <v>0.38911290322580644</v>
      </c>
      <c r="I177" s="4">
        <f>I176/496</f>
        <v>0.42943548387096775</v>
      </c>
      <c r="J177" s="4">
        <f>J176/496</f>
        <v>0.1814516129032258</v>
      </c>
      <c r="K177" s="4">
        <f>K176/438</f>
        <v>1</v>
      </c>
      <c r="L177" s="4">
        <f>L176/59</f>
        <v>1</v>
      </c>
    </row>
    <row r="178" spans="2:12" ht="4.5" customHeight="1">
      <c r="B178" s="7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9.75" customHeight="1">
      <c r="A179" s="3" t="s">
        <v>84</v>
      </c>
      <c r="B179" s="7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9.75" customHeight="1">
      <c r="B180" s="5" t="s">
        <v>81</v>
      </c>
      <c r="C180" s="2">
        <v>1348</v>
      </c>
      <c r="D180" s="2">
        <v>196</v>
      </c>
      <c r="E180" s="2">
        <v>209</v>
      </c>
      <c r="F180" s="2">
        <v>2098</v>
      </c>
      <c r="G180" s="2">
        <v>77</v>
      </c>
      <c r="H180" s="2">
        <v>6</v>
      </c>
      <c r="I180" s="2">
        <v>20</v>
      </c>
      <c r="J180" s="2">
        <v>10</v>
      </c>
      <c r="K180" s="2">
        <v>28</v>
      </c>
      <c r="L180" s="2">
        <v>7</v>
      </c>
    </row>
    <row r="181" spans="2:12" ht="9.75" customHeight="1">
      <c r="B181" s="5" t="s">
        <v>74</v>
      </c>
      <c r="C181" s="2">
        <v>15499</v>
      </c>
      <c r="D181" s="2">
        <v>1498</v>
      </c>
      <c r="E181" s="2">
        <v>2204</v>
      </c>
      <c r="F181" s="2">
        <v>23891</v>
      </c>
      <c r="G181" s="2">
        <v>408</v>
      </c>
      <c r="H181" s="2">
        <v>31</v>
      </c>
      <c r="I181" s="2">
        <v>43</v>
      </c>
      <c r="J181" s="2">
        <v>28</v>
      </c>
      <c r="K181" s="2">
        <v>204</v>
      </c>
      <c r="L181" s="2">
        <v>12</v>
      </c>
    </row>
    <row r="182" spans="2:12" ht="9.75" customHeight="1">
      <c r="B182" s="5" t="s">
        <v>82</v>
      </c>
      <c r="C182" s="2">
        <v>937</v>
      </c>
      <c r="D182" s="2">
        <v>59</v>
      </c>
      <c r="E182" s="2">
        <v>108</v>
      </c>
      <c r="F182" s="2">
        <v>1130</v>
      </c>
      <c r="G182" s="2">
        <v>27</v>
      </c>
      <c r="H182" s="2">
        <v>6</v>
      </c>
      <c r="I182" s="2">
        <v>12</v>
      </c>
      <c r="J182" s="2">
        <v>5</v>
      </c>
      <c r="K182" s="2">
        <v>18</v>
      </c>
      <c r="L182" s="2">
        <v>3</v>
      </c>
    </row>
    <row r="183" spans="2:12" ht="9.75" customHeight="1">
      <c r="B183" s="5" t="s">
        <v>83</v>
      </c>
      <c r="C183" s="2">
        <v>5296</v>
      </c>
      <c r="D183" s="2">
        <v>684</v>
      </c>
      <c r="E183" s="2">
        <v>767</v>
      </c>
      <c r="F183" s="2">
        <v>6509</v>
      </c>
      <c r="G183" s="2">
        <v>208</v>
      </c>
      <c r="H183" s="2">
        <v>4</v>
      </c>
      <c r="I183" s="2">
        <v>13</v>
      </c>
      <c r="J183" s="2">
        <v>4</v>
      </c>
      <c r="K183" s="2">
        <v>70</v>
      </c>
      <c r="L183" s="2">
        <v>9</v>
      </c>
    </row>
    <row r="184" spans="1:12" ht="9.75" customHeight="1">
      <c r="A184" s="3" t="s">
        <v>117</v>
      </c>
      <c r="C184" s="2">
        <v>23080</v>
      </c>
      <c r="D184" s="2">
        <v>2437</v>
      </c>
      <c r="E184" s="2">
        <v>3288</v>
      </c>
      <c r="F184" s="2">
        <v>33628</v>
      </c>
      <c r="G184" s="2">
        <v>720</v>
      </c>
      <c r="H184" s="2">
        <v>47</v>
      </c>
      <c r="I184" s="2">
        <v>88</v>
      </c>
      <c r="J184" s="2">
        <v>47</v>
      </c>
      <c r="K184" s="2">
        <v>320</v>
      </c>
      <c r="L184" s="2">
        <v>31</v>
      </c>
    </row>
    <row r="185" spans="2:12" s="4" customFormat="1" ht="9.75" customHeight="1">
      <c r="B185" s="6" t="s">
        <v>118</v>
      </c>
      <c r="C185" s="4">
        <f>C184/28805</f>
        <v>0.8012497830237806</v>
      </c>
      <c r="D185" s="4">
        <f>D184/28805</f>
        <v>0.08460336747092519</v>
      </c>
      <c r="E185" s="4">
        <f>E184/28805</f>
        <v>0.11414684950529422</v>
      </c>
      <c r="F185" s="4">
        <f>F184/33628</f>
        <v>1</v>
      </c>
      <c r="G185" s="4">
        <f>G184/720</f>
        <v>1</v>
      </c>
      <c r="H185" s="4">
        <f>H184/182</f>
        <v>0.25824175824175827</v>
      </c>
      <c r="I185" s="4">
        <f>I184/182</f>
        <v>0.4835164835164835</v>
      </c>
      <c r="J185" s="4">
        <f>J184/182</f>
        <v>0.25824175824175827</v>
      </c>
      <c r="K185" s="4">
        <f>K184/320</f>
        <v>1</v>
      </c>
      <c r="L185" s="4">
        <f>L184/31</f>
        <v>1</v>
      </c>
    </row>
    <row r="186" spans="2:12" ht="4.5" customHeight="1">
      <c r="B186" s="7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9.75" customHeight="1">
      <c r="A187" s="3" t="s">
        <v>85</v>
      </c>
      <c r="B187" s="7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9.75" customHeight="1">
      <c r="B188" s="5" t="s">
        <v>74</v>
      </c>
      <c r="C188" s="2">
        <v>20124</v>
      </c>
      <c r="D188" s="2">
        <v>1282</v>
      </c>
      <c r="E188" s="2">
        <v>2270</v>
      </c>
      <c r="F188" s="2">
        <v>27525</v>
      </c>
      <c r="G188" s="2">
        <v>291</v>
      </c>
      <c r="H188" s="2">
        <v>84</v>
      </c>
      <c r="I188" s="2">
        <v>79</v>
      </c>
      <c r="J188" s="2">
        <v>39</v>
      </c>
      <c r="K188" s="2">
        <v>194</v>
      </c>
      <c r="L188" s="2">
        <v>26</v>
      </c>
    </row>
    <row r="189" spans="2:12" ht="9.75" customHeight="1">
      <c r="B189" s="5" t="s">
        <v>83</v>
      </c>
      <c r="C189" s="2">
        <v>9135</v>
      </c>
      <c r="D189" s="2">
        <v>867</v>
      </c>
      <c r="E189" s="2">
        <v>1122</v>
      </c>
      <c r="F189" s="2">
        <v>12699</v>
      </c>
      <c r="G189" s="2">
        <v>164</v>
      </c>
      <c r="H189" s="2">
        <v>33</v>
      </c>
      <c r="I189" s="2">
        <v>31</v>
      </c>
      <c r="J189" s="2">
        <v>20</v>
      </c>
      <c r="K189" s="2">
        <v>101</v>
      </c>
      <c r="L189" s="2">
        <v>20</v>
      </c>
    </row>
    <row r="190" spans="1:12" ht="9.75" customHeight="1">
      <c r="A190" s="3" t="s">
        <v>117</v>
      </c>
      <c r="C190" s="2">
        <v>29259</v>
      </c>
      <c r="D190" s="2">
        <v>2149</v>
      </c>
      <c r="E190" s="2">
        <v>3392</v>
      </c>
      <c r="F190" s="2">
        <v>40224</v>
      </c>
      <c r="G190" s="2">
        <v>455</v>
      </c>
      <c r="H190" s="2">
        <v>117</v>
      </c>
      <c r="I190" s="2">
        <v>110</v>
      </c>
      <c r="J190" s="2">
        <v>59</v>
      </c>
      <c r="K190" s="2">
        <v>295</v>
      </c>
      <c r="L190" s="2">
        <v>46</v>
      </c>
    </row>
    <row r="191" spans="2:12" s="4" customFormat="1" ht="9.75" customHeight="1">
      <c r="B191" s="6" t="s">
        <v>118</v>
      </c>
      <c r="C191" s="4">
        <f>C190/34800</f>
        <v>0.8407758620689655</v>
      </c>
      <c r="D191" s="4">
        <f>D190/34800</f>
        <v>0.06175287356321839</v>
      </c>
      <c r="E191" s="4">
        <f>E190/34800</f>
        <v>0.09747126436781609</v>
      </c>
      <c r="F191" s="4">
        <f>F190/40224</f>
        <v>1</v>
      </c>
      <c r="G191" s="4">
        <f>G190/455</f>
        <v>1</v>
      </c>
      <c r="H191" s="4">
        <f>H190/286</f>
        <v>0.4090909090909091</v>
      </c>
      <c r="I191" s="4">
        <f>I190/286</f>
        <v>0.38461538461538464</v>
      </c>
      <c r="J191" s="4">
        <f>J190/286</f>
        <v>0.2062937062937063</v>
      </c>
      <c r="K191" s="4">
        <f>K190/295</f>
        <v>1</v>
      </c>
      <c r="L191" s="4">
        <f>L190/46</f>
        <v>1</v>
      </c>
    </row>
    <row r="192" spans="2:12" ht="4.5" customHeight="1">
      <c r="B192" s="7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9.75" customHeight="1">
      <c r="A193" s="3" t="s">
        <v>86</v>
      </c>
      <c r="B193" s="7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ht="9.75" customHeight="1">
      <c r="B194" s="5" t="s">
        <v>74</v>
      </c>
      <c r="C194" s="2">
        <v>34311</v>
      </c>
      <c r="D194" s="2">
        <v>2393</v>
      </c>
      <c r="E194" s="2">
        <v>3362</v>
      </c>
      <c r="F194" s="2">
        <v>18484</v>
      </c>
      <c r="G194" s="2">
        <v>395</v>
      </c>
      <c r="H194" s="2">
        <v>117</v>
      </c>
      <c r="I194" s="2">
        <v>91</v>
      </c>
      <c r="J194" s="2">
        <v>56</v>
      </c>
      <c r="K194" s="2">
        <v>262</v>
      </c>
      <c r="L194" s="2">
        <v>61</v>
      </c>
    </row>
    <row r="195" spans="1:12" ht="9.75" customHeight="1">
      <c r="A195" s="3" t="s">
        <v>117</v>
      </c>
      <c r="C195" s="2">
        <v>34311</v>
      </c>
      <c r="D195" s="2">
        <v>2393</v>
      </c>
      <c r="E195" s="2">
        <v>3362</v>
      </c>
      <c r="F195" s="2">
        <v>18484</v>
      </c>
      <c r="G195" s="2">
        <v>395</v>
      </c>
      <c r="H195" s="2">
        <v>117</v>
      </c>
      <c r="I195" s="2">
        <v>91</v>
      </c>
      <c r="J195" s="2">
        <v>56</v>
      </c>
      <c r="K195" s="2">
        <v>262</v>
      </c>
      <c r="L195" s="2">
        <v>61</v>
      </c>
    </row>
    <row r="196" spans="2:12" s="4" customFormat="1" ht="9.75" customHeight="1">
      <c r="B196" s="6" t="s">
        <v>118</v>
      </c>
      <c r="C196" s="4">
        <f>C195/40066</f>
        <v>0.8563620026955523</v>
      </c>
      <c r="D196" s="4">
        <f>D195/40066</f>
        <v>0.05972645135526381</v>
      </c>
      <c r="E196" s="4">
        <f>E195/40066</f>
        <v>0.08391154594918385</v>
      </c>
      <c r="F196" s="4">
        <f>F195/18484</f>
        <v>1</v>
      </c>
      <c r="G196" s="4">
        <f>G195/395</f>
        <v>1</v>
      </c>
      <c r="H196" s="4">
        <f>H195/264</f>
        <v>0.4431818181818182</v>
      </c>
      <c r="I196" s="4">
        <f>I195/264</f>
        <v>0.3446969696969697</v>
      </c>
      <c r="J196" s="4">
        <f>J195/264</f>
        <v>0.21212121212121213</v>
      </c>
      <c r="K196" s="4">
        <f>K195/262</f>
        <v>1</v>
      </c>
      <c r="L196" s="4">
        <f>L195/61</f>
        <v>1</v>
      </c>
    </row>
    <row r="197" spans="2:12" ht="4.5" customHeight="1">
      <c r="B197" s="7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9.75" customHeight="1">
      <c r="A198" s="3" t="s">
        <v>87</v>
      </c>
      <c r="B198" s="7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ht="9.75" customHeight="1">
      <c r="B199" s="5" t="s">
        <v>74</v>
      </c>
      <c r="C199" s="2">
        <v>35749</v>
      </c>
      <c r="D199" s="2">
        <v>1813</v>
      </c>
      <c r="E199" s="2">
        <v>2784</v>
      </c>
      <c r="F199" s="2">
        <v>9103</v>
      </c>
      <c r="G199" s="2">
        <v>303</v>
      </c>
      <c r="H199" s="2">
        <v>68</v>
      </c>
      <c r="I199" s="2">
        <v>67</v>
      </c>
      <c r="J199" s="2">
        <v>51</v>
      </c>
      <c r="K199" s="2">
        <v>164</v>
      </c>
      <c r="L199" s="2">
        <v>58</v>
      </c>
    </row>
    <row r="200" spans="1:12" ht="9.75" customHeight="1">
      <c r="A200" s="3" t="s">
        <v>117</v>
      </c>
      <c r="C200" s="2">
        <v>35749</v>
      </c>
      <c r="D200" s="2">
        <v>1813</v>
      </c>
      <c r="E200" s="2">
        <v>2784</v>
      </c>
      <c r="F200" s="2">
        <v>9103</v>
      </c>
      <c r="G200" s="2">
        <v>303</v>
      </c>
      <c r="H200" s="2">
        <v>68</v>
      </c>
      <c r="I200" s="2">
        <v>67</v>
      </c>
      <c r="J200" s="2">
        <v>51</v>
      </c>
      <c r="K200" s="2">
        <v>164</v>
      </c>
      <c r="L200" s="2">
        <v>58</v>
      </c>
    </row>
    <row r="201" spans="2:12" s="4" customFormat="1" ht="9.75" customHeight="1">
      <c r="B201" s="6" t="s">
        <v>118</v>
      </c>
      <c r="C201" s="4">
        <f>C200/40346</f>
        <v>0.886060576017449</v>
      </c>
      <c r="D201" s="4">
        <f>D200/40346</f>
        <v>0.0449363009963813</v>
      </c>
      <c r="E201" s="4">
        <f>E200/40346</f>
        <v>0.06900312298616963</v>
      </c>
      <c r="F201" s="4">
        <f>F200/9103</f>
        <v>1</v>
      </c>
      <c r="G201" s="4">
        <f>G200/303</f>
        <v>1</v>
      </c>
      <c r="H201" s="4">
        <f>H200/186</f>
        <v>0.3655913978494624</v>
      </c>
      <c r="I201" s="4">
        <f>I200/186</f>
        <v>0.3602150537634409</v>
      </c>
      <c r="J201" s="4">
        <f>J200/186</f>
        <v>0.27419354838709675</v>
      </c>
      <c r="K201" s="4">
        <f>K200/164</f>
        <v>1</v>
      </c>
      <c r="L201" s="4">
        <f>L200/58</f>
        <v>1</v>
      </c>
    </row>
    <row r="202" spans="2:12" ht="4.5" customHeight="1">
      <c r="B202" s="7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9.75" customHeight="1">
      <c r="A203" s="3" t="s">
        <v>88</v>
      </c>
      <c r="B203" s="7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ht="9.75" customHeight="1">
      <c r="B204" s="5" t="s">
        <v>74</v>
      </c>
      <c r="C204" s="2">
        <v>35628</v>
      </c>
      <c r="D204" s="2">
        <v>2142</v>
      </c>
      <c r="E204" s="2">
        <v>3391</v>
      </c>
      <c r="F204" s="2">
        <v>20374</v>
      </c>
      <c r="G204" s="2">
        <v>328</v>
      </c>
      <c r="H204" s="2">
        <v>190</v>
      </c>
      <c r="I204" s="2">
        <v>126</v>
      </c>
      <c r="J204" s="2">
        <v>60</v>
      </c>
      <c r="K204" s="2">
        <v>217</v>
      </c>
      <c r="L204" s="2">
        <v>64</v>
      </c>
    </row>
    <row r="205" spans="1:12" ht="9.75" customHeight="1">
      <c r="A205" s="3" t="s">
        <v>117</v>
      </c>
      <c r="C205" s="2">
        <v>35628</v>
      </c>
      <c r="D205" s="2">
        <v>2142</v>
      </c>
      <c r="E205" s="2">
        <v>3391</v>
      </c>
      <c r="F205" s="2">
        <v>20374</v>
      </c>
      <c r="G205" s="2">
        <v>328</v>
      </c>
      <c r="H205" s="2">
        <v>190</v>
      </c>
      <c r="I205" s="2">
        <v>126</v>
      </c>
      <c r="J205" s="2">
        <v>60</v>
      </c>
      <c r="K205" s="2">
        <v>217</v>
      </c>
      <c r="L205" s="2">
        <v>64</v>
      </c>
    </row>
    <row r="206" spans="2:12" s="4" customFormat="1" ht="9.75" customHeight="1">
      <c r="B206" s="6" t="s">
        <v>118</v>
      </c>
      <c r="C206" s="4">
        <f>C205/41161</f>
        <v>0.8655766380797357</v>
      </c>
      <c r="D206" s="4">
        <f>D205/41161</f>
        <v>0.05203955200310974</v>
      </c>
      <c r="E206" s="4">
        <f>E205/41161</f>
        <v>0.08238380991715459</v>
      </c>
      <c r="F206" s="4">
        <f>F205/20374</f>
        <v>1</v>
      </c>
      <c r="G206" s="4">
        <f>G205/328</f>
        <v>1</v>
      </c>
      <c r="H206" s="4">
        <f>H205/376</f>
        <v>0.5053191489361702</v>
      </c>
      <c r="I206" s="4">
        <f>I205/376</f>
        <v>0.3351063829787234</v>
      </c>
      <c r="J206" s="4">
        <f>J205/376</f>
        <v>0.1595744680851064</v>
      </c>
      <c r="K206" s="4">
        <f>K205/217</f>
        <v>1</v>
      </c>
      <c r="L206" s="4">
        <f>L205/64</f>
        <v>1</v>
      </c>
    </row>
    <row r="207" spans="2:12" ht="4.5" customHeight="1">
      <c r="B207" s="7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9.75" customHeight="1">
      <c r="A208" s="3" t="s">
        <v>89</v>
      </c>
      <c r="B208" s="7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ht="9.75" customHeight="1">
      <c r="B209" s="5" t="s">
        <v>74</v>
      </c>
      <c r="C209" s="2">
        <v>59103</v>
      </c>
      <c r="D209" s="2">
        <v>1797</v>
      </c>
      <c r="E209" s="2">
        <v>4704</v>
      </c>
      <c r="F209" s="2">
        <v>21740</v>
      </c>
      <c r="G209" s="2">
        <v>378</v>
      </c>
      <c r="H209" s="2">
        <v>179</v>
      </c>
      <c r="I209" s="2">
        <v>184</v>
      </c>
      <c r="J209" s="2">
        <v>69</v>
      </c>
      <c r="K209" s="2">
        <v>290</v>
      </c>
      <c r="L209" s="2">
        <v>72</v>
      </c>
    </row>
    <row r="210" spans="1:12" ht="9.75" customHeight="1">
      <c r="A210" s="3" t="s">
        <v>117</v>
      </c>
      <c r="C210" s="2">
        <v>59103</v>
      </c>
      <c r="D210" s="2">
        <v>1797</v>
      </c>
      <c r="E210" s="2">
        <v>4704</v>
      </c>
      <c r="F210" s="2">
        <v>21740</v>
      </c>
      <c r="G210" s="2">
        <v>378</v>
      </c>
      <c r="H210" s="2">
        <v>179</v>
      </c>
      <c r="I210" s="2">
        <v>184</v>
      </c>
      <c r="J210" s="2">
        <v>69</v>
      </c>
      <c r="K210" s="2">
        <v>290</v>
      </c>
      <c r="L210" s="2">
        <v>72</v>
      </c>
    </row>
    <row r="211" spans="2:12" s="4" customFormat="1" ht="9.75" customHeight="1">
      <c r="B211" s="6" t="s">
        <v>118</v>
      </c>
      <c r="C211" s="4">
        <f>C210/65604</f>
        <v>0.9009054325955734</v>
      </c>
      <c r="D211" s="4">
        <f>D210/65604</f>
        <v>0.027391622462044997</v>
      </c>
      <c r="E211" s="4">
        <f>E210/65604</f>
        <v>0.07170294494238157</v>
      </c>
      <c r="F211" s="4">
        <f>F210/21740</f>
        <v>1</v>
      </c>
      <c r="G211" s="4">
        <f>G210/378</f>
        <v>1</v>
      </c>
      <c r="H211" s="4">
        <f>H210/432</f>
        <v>0.41435185185185186</v>
      </c>
      <c r="I211" s="4">
        <f>I210/432</f>
        <v>0.42592592592592593</v>
      </c>
      <c r="J211" s="4">
        <f>J210/432</f>
        <v>0.1597222222222222</v>
      </c>
      <c r="K211" s="4">
        <f>K210/290</f>
        <v>1</v>
      </c>
      <c r="L211" s="4">
        <f>L210/72</f>
        <v>1</v>
      </c>
    </row>
    <row r="212" spans="2:12" ht="4.5" customHeight="1">
      <c r="B212" s="7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9.75" customHeight="1">
      <c r="A213" s="3" t="s">
        <v>90</v>
      </c>
      <c r="B213" s="7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ht="9.75" customHeight="1">
      <c r="B214" s="5" t="s">
        <v>74</v>
      </c>
      <c r="C214" s="2">
        <v>26308</v>
      </c>
      <c r="D214" s="2">
        <v>1700</v>
      </c>
      <c r="E214" s="2">
        <v>2480</v>
      </c>
      <c r="F214" s="2">
        <v>4645</v>
      </c>
      <c r="G214" s="2">
        <v>238</v>
      </c>
      <c r="H214" s="2">
        <v>139</v>
      </c>
      <c r="I214" s="2">
        <v>108</v>
      </c>
      <c r="J214" s="2">
        <v>51</v>
      </c>
      <c r="K214" s="2">
        <v>101</v>
      </c>
      <c r="L214" s="2">
        <v>84</v>
      </c>
    </row>
    <row r="215" spans="1:12" ht="9.75" customHeight="1">
      <c r="A215" s="3" t="s">
        <v>117</v>
      </c>
      <c r="C215" s="2">
        <v>26308</v>
      </c>
      <c r="D215" s="2">
        <v>1700</v>
      </c>
      <c r="E215" s="2">
        <v>2480</v>
      </c>
      <c r="F215" s="2">
        <v>4645</v>
      </c>
      <c r="G215" s="2">
        <v>238</v>
      </c>
      <c r="H215" s="2">
        <v>139</v>
      </c>
      <c r="I215" s="2">
        <v>108</v>
      </c>
      <c r="J215" s="2">
        <v>51</v>
      </c>
      <c r="K215" s="2">
        <v>101</v>
      </c>
      <c r="L215" s="2">
        <v>84</v>
      </c>
    </row>
    <row r="216" spans="2:12" s="4" customFormat="1" ht="9.75" customHeight="1">
      <c r="B216" s="6" t="s">
        <v>118</v>
      </c>
      <c r="C216" s="4">
        <f>C215/30488</f>
        <v>0.8628968774599842</v>
      </c>
      <c r="D216" s="4">
        <f>D215/30488</f>
        <v>0.05575964313828392</v>
      </c>
      <c r="E216" s="4">
        <f>E215/30488</f>
        <v>0.08134347940173182</v>
      </c>
      <c r="F216" s="4">
        <f>F215/4645</f>
        <v>1</v>
      </c>
      <c r="G216" s="4">
        <f>G215/238</f>
        <v>1</v>
      </c>
      <c r="H216" s="4">
        <f>H215/298</f>
        <v>0.4664429530201342</v>
      </c>
      <c r="I216" s="4">
        <f>I215/298</f>
        <v>0.3624161073825503</v>
      </c>
      <c r="J216" s="4">
        <f>J215/298</f>
        <v>0.17114093959731544</v>
      </c>
      <c r="K216" s="4">
        <f>K215/101</f>
        <v>1</v>
      </c>
      <c r="L216" s="4">
        <f>L215/84</f>
        <v>1</v>
      </c>
    </row>
    <row r="217" spans="2:12" ht="4.5" customHeight="1">
      <c r="B217" s="7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9.75" customHeight="1">
      <c r="A218" s="3" t="s">
        <v>91</v>
      </c>
      <c r="B218" s="7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ht="9.75" customHeight="1">
      <c r="B219" s="5" t="s">
        <v>74</v>
      </c>
      <c r="C219" s="2">
        <v>27734</v>
      </c>
      <c r="D219" s="2">
        <v>2236</v>
      </c>
      <c r="E219" s="2">
        <v>2571</v>
      </c>
      <c r="F219" s="2">
        <v>10879</v>
      </c>
      <c r="G219" s="2">
        <v>362</v>
      </c>
      <c r="H219" s="2">
        <v>40</v>
      </c>
      <c r="I219" s="2">
        <v>31</v>
      </c>
      <c r="J219" s="2">
        <v>19</v>
      </c>
      <c r="K219" s="2">
        <v>108</v>
      </c>
      <c r="L219" s="2">
        <v>77</v>
      </c>
    </row>
    <row r="220" spans="1:12" ht="9.75" customHeight="1">
      <c r="A220" s="3" t="s">
        <v>117</v>
      </c>
      <c r="C220" s="2">
        <v>27734</v>
      </c>
      <c r="D220" s="2">
        <v>2236</v>
      </c>
      <c r="E220" s="2">
        <v>2571</v>
      </c>
      <c r="F220" s="2">
        <v>10879</v>
      </c>
      <c r="G220" s="2">
        <v>362</v>
      </c>
      <c r="H220" s="2">
        <v>40</v>
      </c>
      <c r="I220" s="2">
        <v>31</v>
      </c>
      <c r="J220" s="2">
        <v>19</v>
      </c>
      <c r="K220" s="2">
        <v>108</v>
      </c>
      <c r="L220" s="2">
        <v>77</v>
      </c>
    </row>
    <row r="221" spans="2:12" s="4" customFormat="1" ht="9.75" customHeight="1">
      <c r="B221" s="6" t="s">
        <v>118</v>
      </c>
      <c r="C221" s="4">
        <f>C220/32541</f>
        <v>0.852278663839464</v>
      </c>
      <c r="D221" s="4">
        <f>D220/32541</f>
        <v>0.06871331550966472</v>
      </c>
      <c r="E221" s="4">
        <f>E220/32541</f>
        <v>0.0790080206508712</v>
      </c>
      <c r="F221" s="4">
        <f>F220/10879</f>
        <v>1</v>
      </c>
      <c r="G221" s="4">
        <f>G220/362</f>
        <v>1</v>
      </c>
      <c r="H221" s="4">
        <f>H220/90</f>
        <v>0.4444444444444444</v>
      </c>
      <c r="I221" s="4">
        <f>I220/90</f>
        <v>0.34444444444444444</v>
      </c>
      <c r="J221" s="4">
        <f>J220/90</f>
        <v>0.2111111111111111</v>
      </c>
      <c r="K221" s="4">
        <f>K220/108</f>
        <v>1</v>
      </c>
      <c r="L221" s="4">
        <f>L220/77</f>
        <v>1</v>
      </c>
    </row>
    <row r="222" spans="2:12" ht="4.5" customHeight="1">
      <c r="B222" s="7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9.75" customHeight="1">
      <c r="A223" s="3" t="s">
        <v>92</v>
      </c>
      <c r="B223" s="7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ht="9.75" customHeight="1">
      <c r="B224" s="5" t="s">
        <v>74</v>
      </c>
      <c r="C224" s="2">
        <v>47459</v>
      </c>
      <c r="D224" s="2">
        <v>2397</v>
      </c>
      <c r="E224" s="2">
        <v>3245</v>
      </c>
      <c r="F224" s="2">
        <v>5578</v>
      </c>
      <c r="G224" s="2">
        <v>299</v>
      </c>
      <c r="H224" s="2">
        <v>102</v>
      </c>
      <c r="I224" s="2">
        <v>103</v>
      </c>
      <c r="J224" s="2">
        <v>51</v>
      </c>
      <c r="K224" s="2">
        <v>145</v>
      </c>
      <c r="L224" s="2">
        <v>66</v>
      </c>
    </row>
    <row r="225" spans="1:12" ht="9.75" customHeight="1">
      <c r="A225" s="3" t="s">
        <v>117</v>
      </c>
      <c r="C225" s="2">
        <v>47459</v>
      </c>
      <c r="D225" s="2">
        <v>2397</v>
      </c>
      <c r="E225" s="2">
        <v>3245</v>
      </c>
      <c r="F225" s="2">
        <v>5578</v>
      </c>
      <c r="G225" s="2">
        <v>299</v>
      </c>
      <c r="H225" s="2">
        <v>102</v>
      </c>
      <c r="I225" s="2">
        <v>103</v>
      </c>
      <c r="J225" s="2">
        <v>51</v>
      </c>
      <c r="K225" s="2">
        <v>145</v>
      </c>
      <c r="L225" s="2">
        <v>66</v>
      </c>
    </row>
    <row r="226" spans="2:12" s="4" customFormat="1" ht="9.75" customHeight="1">
      <c r="B226" s="6" t="s">
        <v>118</v>
      </c>
      <c r="C226" s="4">
        <f>C225/53101</f>
        <v>0.8937496468993051</v>
      </c>
      <c r="D226" s="4">
        <f>D225/53101</f>
        <v>0.0451403928362931</v>
      </c>
      <c r="E226" s="4">
        <f>E225/53101</f>
        <v>0.0611099602644018</v>
      </c>
      <c r="F226" s="4">
        <f>F225/5578</f>
        <v>1</v>
      </c>
      <c r="G226" s="4">
        <f>G225/299</f>
        <v>1</v>
      </c>
      <c r="H226" s="4">
        <f>H225/256</f>
        <v>0.3984375</v>
      </c>
      <c r="I226" s="4">
        <f>I225/256</f>
        <v>0.40234375</v>
      </c>
      <c r="J226" s="4">
        <f>J225/256</f>
        <v>0.19921875</v>
      </c>
      <c r="K226" s="4">
        <f>K225/145</f>
        <v>1</v>
      </c>
      <c r="L226" s="4">
        <f>L225/66</f>
        <v>1</v>
      </c>
    </row>
    <row r="227" spans="2:12" ht="4.5" customHeight="1">
      <c r="B227" s="7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9.75" customHeight="1">
      <c r="A228" s="3" t="s">
        <v>93</v>
      </c>
      <c r="B228" s="7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ht="9.75" customHeight="1">
      <c r="B229" s="5" t="s">
        <v>74</v>
      </c>
      <c r="C229" s="2">
        <v>20957</v>
      </c>
      <c r="D229" s="2">
        <v>1651</v>
      </c>
      <c r="E229" s="2">
        <v>1946</v>
      </c>
      <c r="F229" s="2">
        <v>6064</v>
      </c>
      <c r="G229" s="2">
        <v>207</v>
      </c>
      <c r="H229" s="2">
        <v>29</v>
      </c>
      <c r="I229" s="2">
        <v>31</v>
      </c>
      <c r="J229" s="2">
        <v>13</v>
      </c>
      <c r="K229" s="2">
        <v>59</v>
      </c>
      <c r="L229" s="2">
        <v>67</v>
      </c>
    </row>
    <row r="230" spans="1:12" ht="9.75" customHeight="1">
      <c r="A230" s="3" t="s">
        <v>117</v>
      </c>
      <c r="C230" s="2">
        <v>20957</v>
      </c>
      <c r="D230" s="2">
        <v>1651</v>
      </c>
      <c r="E230" s="2">
        <v>1946</v>
      </c>
      <c r="F230" s="2">
        <v>6064</v>
      </c>
      <c r="G230" s="2">
        <v>207</v>
      </c>
      <c r="H230" s="2">
        <v>29</v>
      </c>
      <c r="I230" s="2">
        <v>31</v>
      </c>
      <c r="J230" s="2">
        <v>13</v>
      </c>
      <c r="K230" s="2">
        <v>59</v>
      </c>
      <c r="L230" s="2">
        <v>67</v>
      </c>
    </row>
    <row r="231" spans="2:12" s="4" customFormat="1" ht="9.75" customHeight="1">
      <c r="B231" s="6" t="s">
        <v>118</v>
      </c>
      <c r="C231" s="4">
        <f>C230/24554</f>
        <v>0.85350655697646</v>
      </c>
      <c r="D231" s="4">
        <f>D230/24554</f>
        <v>0.06723955363688197</v>
      </c>
      <c r="E231" s="4">
        <f>E230/24554</f>
        <v>0.07925388938665798</v>
      </c>
      <c r="F231" s="4">
        <f>F230/6064</f>
        <v>1</v>
      </c>
      <c r="G231" s="4">
        <f>G230/207</f>
        <v>1</v>
      </c>
      <c r="H231" s="4">
        <f>H230/73</f>
        <v>0.3972602739726027</v>
      </c>
      <c r="I231" s="4">
        <f>I230/73</f>
        <v>0.4246575342465753</v>
      </c>
      <c r="J231" s="4">
        <f>J230/73</f>
        <v>0.1780821917808219</v>
      </c>
      <c r="K231" s="4">
        <f>K230/59</f>
        <v>1</v>
      </c>
      <c r="L231" s="4">
        <f>L230/67</f>
        <v>1</v>
      </c>
    </row>
    <row r="232" spans="2:12" ht="4.5" customHeight="1">
      <c r="B232" s="7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9.75" customHeight="1">
      <c r="A233" s="3" t="s">
        <v>94</v>
      </c>
      <c r="B233" s="7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ht="9.75" customHeight="1">
      <c r="B234" s="5" t="s">
        <v>74</v>
      </c>
      <c r="C234" s="2">
        <v>36192</v>
      </c>
      <c r="D234" s="2">
        <v>2249</v>
      </c>
      <c r="E234" s="2">
        <v>2043</v>
      </c>
      <c r="F234" s="2">
        <v>5851</v>
      </c>
      <c r="G234" s="2">
        <v>252</v>
      </c>
      <c r="H234" s="2">
        <v>31</v>
      </c>
      <c r="I234" s="2">
        <v>35</v>
      </c>
      <c r="J234" s="2">
        <v>20</v>
      </c>
      <c r="K234" s="2">
        <v>91</v>
      </c>
      <c r="L234" s="2">
        <v>41</v>
      </c>
    </row>
    <row r="235" spans="1:12" ht="9.75" customHeight="1">
      <c r="A235" s="3" t="s">
        <v>117</v>
      </c>
      <c r="C235" s="2">
        <v>36192</v>
      </c>
      <c r="D235" s="2">
        <v>2249</v>
      </c>
      <c r="E235" s="2">
        <v>2043</v>
      </c>
      <c r="F235" s="2">
        <v>5851</v>
      </c>
      <c r="G235" s="2">
        <v>252</v>
      </c>
      <c r="H235" s="2">
        <v>31</v>
      </c>
      <c r="I235" s="2">
        <v>35</v>
      </c>
      <c r="J235" s="2">
        <v>20</v>
      </c>
      <c r="K235" s="2">
        <v>91</v>
      </c>
      <c r="L235" s="2">
        <v>41</v>
      </c>
    </row>
    <row r="236" spans="2:12" s="4" customFormat="1" ht="9.75" customHeight="1">
      <c r="B236" s="6" t="s">
        <v>118</v>
      </c>
      <c r="C236" s="4">
        <f>C235/40484</f>
        <v>0.8939828080229226</v>
      </c>
      <c r="D236" s="4">
        <f>D235/40484</f>
        <v>0.05555281098705662</v>
      </c>
      <c r="E236" s="4">
        <f>E235/40484</f>
        <v>0.05046438099002075</v>
      </c>
      <c r="F236" s="4">
        <f>F235/5851</f>
        <v>1</v>
      </c>
      <c r="G236" s="4">
        <f>G235/252</f>
        <v>1</v>
      </c>
      <c r="H236" s="4">
        <f>H235/86</f>
        <v>0.36046511627906974</v>
      </c>
      <c r="I236" s="4">
        <f>I235/86</f>
        <v>0.4069767441860465</v>
      </c>
      <c r="J236" s="4">
        <f>J235/86</f>
        <v>0.23255813953488372</v>
      </c>
      <c r="K236" s="4">
        <f>K235/91</f>
        <v>1</v>
      </c>
      <c r="L236" s="4">
        <f>L235/41</f>
        <v>1</v>
      </c>
    </row>
    <row r="237" spans="2:12" ht="4.5" customHeight="1">
      <c r="B237" s="7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9.75" customHeight="1">
      <c r="A238" s="3" t="s">
        <v>95</v>
      </c>
      <c r="B238" s="7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ht="9.75" customHeight="1">
      <c r="B239" s="5" t="s">
        <v>74</v>
      </c>
      <c r="C239" s="2">
        <v>41311</v>
      </c>
      <c r="D239" s="2">
        <v>2250</v>
      </c>
      <c r="E239" s="2">
        <v>4694</v>
      </c>
      <c r="F239" s="2">
        <v>24864</v>
      </c>
      <c r="G239" s="2">
        <v>449</v>
      </c>
      <c r="H239" s="2">
        <v>150</v>
      </c>
      <c r="I239" s="2">
        <v>167</v>
      </c>
      <c r="J239" s="2">
        <v>76</v>
      </c>
      <c r="K239" s="2">
        <v>316</v>
      </c>
      <c r="L239" s="2">
        <v>88</v>
      </c>
    </row>
    <row r="240" spans="1:12" ht="9.75" customHeight="1">
      <c r="A240" s="3" t="s">
        <v>117</v>
      </c>
      <c r="C240" s="2">
        <v>41311</v>
      </c>
      <c r="D240" s="2">
        <v>2250</v>
      </c>
      <c r="E240" s="2">
        <v>4694</v>
      </c>
      <c r="F240" s="2">
        <v>24864</v>
      </c>
      <c r="G240" s="2">
        <v>449</v>
      </c>
      <c r="H240" s="2">
        <v>150</v>
      </c>
      <c r="I240" s="2">
        <v>167</v>
      </c>
      <c r="J240" s="2">
        <v>76</v>
      </c>
      <c r="K240" s="2">
        <v>316</v>
      </c>
      <c r="L240" s="2">
        <v>88</v>
      </c>
    </row>
    <row r="241" spans="2:12" s="4" customFormat="1" ht="9.75" customHeight="1">
      <c r="B241" s="6" t="s">
        <v>118</v>
      </c>
      <c r="C241" s="4">
        <f>C240/48255</f>
        <v>0.8560978136980624</v>
      </c>
      <c r="D241" s="4">
        <f>D240/48255</f>
        <v>0.046627292508548336</v>
      </c>
      <c r="E241" s="4">
        <f>E240/48255</f>
        <v>0.09727489379338929</v>
      </c>
      <c r="F241" s="4">
        <f>F240/24864</f>
        <v>1</v>
      </c>
      <c r="G241" s="4">
        <f>G240/449</f>
        <v>1</v>
      </c>
      <c r="H241" s="4">
        <f>H240/393</f>
        <v>0.3816793893129771</v>
      </c>
      <c r="I241" s="4">
        <f>I240/393</f>
        <v>0.42493638676844786</v>
      </c>
      <c r="J241" s="4">
        <f>J240/393</f>
        <v>0.19338422391857507</v>
      </c>
      <c r="K241" s="4">
        <f>K240/316</f>
        <v>1</v>
      </c>
      <c r="L241" s="4">
        <f>L240/88</f>
        <v>1</v>
      </c>
    </row>
    <row r="242" spans="2:12" ht="4.5" customHeight="1">
      <c r="B242" s="7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9.75" customHeight="1">
      <c r="A243" s="3" t="s">
        <v>96</v>
      </c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ht="9.75" customHeight="1">
      <c r="B244" s="5" t="s">
        <v>74</v>
      </c>
      <c r="C244" s="2">
        <v>33292</v>
      </c>
      <c r="D244" s="2">
        <v>2660</v>
      </c>
      <c r="E244" s="2">
        <v>2714</v>
      </c>
      <c r="F244" s="2">
        <v>8672</v>
      </c>
      <c r="G244" s="2">
        <v>391</v>
      </c>
      <c r="H244" s="2">
        <v>108</v>
      </c>
      <c r="I244" s="2">
        <v>81</v>
      </c>
      <c r="J244" s="2">
        <v>43</v>
      </c>
      <c r="K244" s="2">
        <v>140</v>
      </c>
      <c r="L244" s="2">
        <v>82</v>
      </c>
    </row>
    <row r="245" spans="1:12" ht="9.75" customHeight="1">
      <c r="A245" s="3" t="s">
        <v>117</v>
      </c>
      <c r="C245" s="2">
        <v>33292</v>
      </c>
      <c r="D245" s="2">
        <v>2660</v>
      </c>
      <c r="E245" s="2">
        <v>2714</v>
      </c>
      <c r="F245" s="2">
        <v>8672</v>
      </c>
      <c r="G245" s="2">
        <v>391</v>
      </c>
      <c r="H245" s="2">
        <v>108</v>
      </c>
      <c r="I245" s="2">
        <v>81</v>
      </c>
      <c r="J245" s="2">
        <v>43</v>
      </c>
      <c r="K245" s="2">
        <v>140</v>
      </c>
      <c r="L245" s="2">
        <v>82</v>
      </c>
    </row>
    <row r="246" spans="2:12" s="4" customFormat="1" ht="9.75" customHeight="1">
      <c r="B246" s="6" t="s">
        <v>118</v>
      </c>
      <c r="C246" s="4">
        <f>C245/38666</f>
        <v>0.8610148450835359</v>
      </c>
      <c r="D246" s="4">
        <f>D245/38666</f>
        <v>0.0687942895567165</v>
      </c>
      <c r="E246" s="4">
        <f>E245/38666</f>
        <v>0.07019086535974758</v>
      </c>
      <c r="F246" s="4">
        <f>F245/8672</f>
        <v>1</v>
      </c>
      <c r="G246" s="4">
        <f>G245/391</f>
        <v>1</v>
      </c>
      <c r="H246" s="4">
        <f>H245/232</f>
        <v>0.46551724137931033</v>
      </c>
      <c r="I246" s="4">
        <f>I245/232</f>
        <v>0.34913793103448276</v>
      </c>
      <c r="J246" s="4">
        <f>J245/232</f>
        <v>0.1853448275862069</v>
      </c>
      <c r="K246" s="4">
        <f>K245/140</f>
        <v>1</v>
      </c>
      <c r="L246" s="4">
        <f>L245/82</f>
        <v>1</v>
      </c>
    </row>
    <row r="247" spans="2:12" ht="4.5" customHeight="1">
      <c r="B247" s="7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9.75" customHeight="1">
      <c r="A248" s="3" t="s">
        <v>97</v>
      </c>
      <c r="B248" s="7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ht="9.75" customHeight="1">
      <c r="B249" s="5" t="s">
        <v>74</v>
      </c>
      <c r="C249" s="2">
        <v>29886</v>
      </c>
      <c r="D249" s="2">
        <v>2278</v>
      </c>
      <c r="E249" s="2">
        <v>2834</v>
      </c>
      <c r="F249" s="2">
        <v>8841</v>
      </c>
      <c r="G249" s="2">
        <v>296</v>
      </c>
      <c r="H249" s="2">
        <v>31</v>
      </c>
      <c r="I249" s="2">
        <v>30</v>
      </c>
      <c r="J249" s="2">
        <v>17</v>
      </c>
      <c r="K249" s="2">
        <v>75</v>
      </c>
      <c r="L249" s="2">
        <v>56</v>
      </c>
    </row>
    <row r="250" spans="1:12" ht="9.75" customHeight="1">
      <c r="A250" s="3" t="s">
        <v>117</v>
      </c>
      <c r="C250" s="2">
        <v>29886</v>
      </c>
      <c r="D250" s="2">
        <v>2278</v>
      </c>
      <c r="E250" s="2">
        <v>2834</v>
      </c>
      <c r="F250" s="2">
        <v>8841</v>
      </c>
      <c r="G250" s="2">
        <v>296</v>
      </c>
      <c r="H250" s="2">
        <v>31</v>
      </c>
      <c r="I250" s="2">
        <v>30</v>
      </c>
      <c r="J250" s="2">
        <v>17</v>
      </c>
      <c r="K250" s="2">
        <v>75</v>
      </c>
      <c r="L250" s="2">
        <v>56</v>
      </c>
    </row>
    <row r="251" spans="2:12" s="4" customFormat="1" ht="9.75" customHeight="1">
      <c r="B251" s="6" t="s">
        <v>118</v>
      </c>
      <c r="C251" s="4">
        <f>C250/34998</f>
        <v>0.8539345105434596</v>
      </c>
      <c r="D251" s="4">
        <f>D250/34998</f>
        <v>0.06508943368192469</v>
      </c>
      <c r="E251" s="4">
        <f>E250/34998</f>
        <v>0.0809760557746157</v>
      </c>
      <c r="F251" s="4">
        <f>F250/8841</f>
        <v>1</v>
      </c>
      <c r="G251" s="4">
        <f>G250/296</f>
        <v>1</v>
      </c>
      <c r="H251" s="4">
        <f>H250/78</f>
        <v>0.3974358974358974</v>
      </c>
      <c r="I251" s="4">
        <f>I250/78</f>
        <v>0.38461538461538464</v>
      </c>
      <c r="J251" s="4">
        <f>J250/78</f>
        <v>0.21794871794871795</v>
      </c>
      <c r="K251" s="4">
        <f>K250/75</f>
        <v>1</v>
      </c>
      <c r="L251" s="4">
        <f>L250/56</f>
        <v>1</v>
      </c>
    </row>
    <row r="252" spans="2:12" ht="4.5" customHeight="1">
      <c r="B252" s="7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9.75" customHeight="1">
      <c r="A253" s="3" t="s">
        <v>98</v>
      </c>
      <c r="B253" s="7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ht="9.75" customHeight="1">
      <c r="B254" s="5" t="s">
        <v>74</v>
      </c>
      <c r="C254" s="2">
        <v>25938</v>
      </c>
      <c r="D254" s="2">
        <v>2224</v>
      </c>
      <c r="E254" s="2">
        <v>2729</v>
      </c>
      <c r="F254" s="2">
        <v>13493</v>
      </c>
      <c r="G254" s="2">
        <v>288</v>
      </c>
      <c r="H254" s="2">
        <v>40</v>
      </c>
      <c r="I254" s="2">
        <v>45</v>
      </c>
      <c r="J254" s="2">
        <v>22</v>
      </c>
      <c r="K254" s="2">
        <v>112</v>
      </c>
      <c r="L254" s="2">
        <v>59</v>
      </c>
    </row>
    <row r="255" spans="1:12" ht="9.75" customHeight="1">
      <c r="A255" s="3" t="s">
        <v>117</v>
      </c>
      <c r="C255" s="2">
        <v>25938</v>
      </c>
      <c r="D255" s="2">
        <v>2224</v>
      </c>
      <c r="E255" s="2">
        <v>2729</v>
      </c>
      <c r="F255" s="2">
        <v>13493</v>
      </c>
      <c r="G255" s="2">
        <v>288</v>
      </c>
      <c r="H255" s="2">
        <v>40</v>
      </c>
      <c r="I255" s="2">
        <v>45</v>
      </c>
      <c r="J255" s="2">
        <v>22</v>
      </c>
      <c r="K255" s="2">
        <v>112</v>
      </c>
      <c r="L255" s="2">
        <v>59</v>
      </c>
    </row>
    <row r="256" spans="2:12" s="4" customFormat="1" ht="9.75" customHeight="1">
      <c r="B256" s="6" t="s">
        <v>118</v>
      </c>
      <c r="C256" s="4">
        <f>C255/30891</f>
        <v>0.8396620374866466</v>
      </c>
      <c r="D256" s="4">
        <f>D255/30891</f>
        <v>0.07199507947298565</v>
      </c>
      <c r="E256" s="4">
        <f>E255/30891</f>
        <v>0.08834288304036775</v>
      </c>
      <c r="F256" s="4">
        <f>F255/13493</f>
        <v>1</v>
      </c>
      <c r="G256" s="4">
        <f>G255/288</f>
        <v>1</v>
      </c>
      <c r="H256" s="4">
        <f>H255/107</f>
        <v>0.37383177570093457</v>
      </c>
      <c r="I256" s="4">
        <f>I255/107</f>
        <v>0.4205607476635514</v>
      </c>
      <c r="J256" s="4">
        <f>J255/107</f>
        <v>0.205607476635514</v>
      </c>
      <c r="K256" s="4">
        <f>K255/112</f>
        <v>1</v>
      </c>
      <c r="L256" s="4">
        <f>L255/59</f>
        <v>1</v>
      </c>
    </row>
    <row r="257" spans="2:12" ht="4.5" customHeight="1">
      <c r="B257" s="7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9.75" customHeight="1">
      <c r="A258" s="3" t="s">
        <v>100</v>
      </c>
      <c r="B258" s="7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ht="9.75" customHeight="1">
      <c r="B259" s="5" t="s">
        <v>99</v>
      </c>
      <c r="C259" s="2">
        <v>24090</v>
      </c>
      <c r="D259" s="2">
        <v>2416</v>
      </c>
      <c r="E259" s="2">
        <v>3158</v>
      </c>
      <c r="F259" s="2">
        <v>39509</v>
      </c>
      <c r="G259" s="2">
        <v>472</v>
      </c>
      <c r="H259" s="2">
        <v>87</v>
      </c>
      <c r="I259" s="2">
        <v>70</v>
      </c>
      <c r="J259" s="2">
        <v>46</v>
      </c>
      <c r="K259" s="2">
        <v>344</v>
      </c>
      <c r="L259" s="2">
        <v>78</v>
      </c>
    </row>
    <row r="260" spans="1:12" ht="9.75" customHeight="1">
      <c r="A260" s="3" t="s">
        <v>117</v>
      </c>
      <c r="C260" s="2">
        <v>24090</v>
      </c>
      <c r="D260" s="2">
        <v>2416</v>
      </c>
      <c r="E260" s="2">
        <v>3158</v>
      </c>
      <c r="F260" s="2">
        <v>39509</v>
      </c>
      <c r="G260" s="2">
        <v>472</v>
      </c>
      <c r="H260" s="2">
        <v>87</v>
      </c>
      <c r="I260" s="2">
        <v>70</v>
      </c>
      <c r="J260" s="2">
        <v>46</v>
      </c>
      <c r="K260" s="2">
        <v>344</v>
      </c>
      <c r="L260" s="2">
        <v>78</v>
      </c>
    </row>
    <row r="261" spans="2:12" s="4" customFormat="1" ht="9.75" customHeight="1">
      <c r="B261" s="6" t="s">
        <v>118</v>
      </c>
      <c r="C261" s="4">
        <f>C260/29664</f>
        <v>0.8120954692556634</v>
      </c>
      <c r="D261" s="4">
        <f>D260/29664</f>
        <v>0.081445523193096</v>
      </c>
      <c r="E261" s="4">
        <f>E260/29664</f>
        <v>0.10645900755124056</v>
      </c>
      <c r="F261" s="4">
        <f>F260/39509</f>
        <v>1</v>
      </c>
      <c r="G261" s="4">
        <f>G260/472</f>
        <v>1</v>
      </c>
      <c r="H261" s="4">
        <f>H260/203</f>
        <v>0.42857142857142855</v>
      </c>
      <c r="I261" s="4">
        <f>I260/203</f>
        <v>0.3448275862068966</v>
      </c>
      <c r="J261" s="4">
        <f>J260/203</f>
        <v>0.22660098522167488</v>
      </c>
      <c r="K261" s="4">
        <f>K260/344</f>
        <v>1</v>
      </c>
      <c r="L261" s="4">
        <f>L260/78</f>
        <v>1</v>
      </c>
    </row>
    <row r="262" spans="2:12" ht="4.5" customHeight="1">
      <c r="B262" s="7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9.75" customHeight="1">
      <c r="A263" s="3" t="s">
        <v>102</v>
      </c>
      <c r="B263" s="7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ht="9.75" customHeight="1">
      <c r="B264" s="5" t="s">
        <v>101</v>
      </c>
      <c r="C264" s="2">
        <v>6127</v>
      </c>
      <c r="D264" s="2">
        <v>457</v>
      </c>
      <c r="E264" s="2">
        <v>848</v>
      </c>
      <c r="F264" s="2">
        <v>9158</v>
      </c>
      <c r="G264" s="2">
        <v>166</v>
      </c>
      <c r="H264" s="2">
        <v>12</v>
      </c>
      <c r="I264" s="2">
        <v>15</v>
      </c>
      <c r="J264" s="2">
        <v>16</v>
      </c>
      <c r="K264" s="2">
        <v>55</v>
      </c>
      <c r="L264" s="2">
        <v>5</v>
      </c>
    </row>
    <row r="265" spans="2:12" ht="9.75" customHeight="1">
      <c r="B265" s="5" t="s">
        <v>83</v>
      </c>
      <c r="C265" s="2">
        <v>20737</v>
      </c>
      <c r="D265" s="2">
        <v>1940</v>
      </c>
      <c r="E265" s="2">
        <v>3281</v>
      </c>
      <c r="F265" s="2">
        <v>33688</v>
      </c>
      <c r="G265" s="2">
        <v>604</v>
      </c>
      <c r="H265" s="2">
        <v>65</v>
      </c>
      <c r="I265" s="2">
        <v>77</v>
      </c>
      <c r="J265" s="2">
        <v>38</v>
      </c>
      <c r="K265" s="2">
        <v>265</v>
      </c>
      <c r="L265" s="2">
        <v>54</v>
      </c>
    </row>
    <row r="266" spans="1:12" ht="9.75" customHeight="1">
      <c r="A266" s="3" t="s">
        <v>117</v>
      </c>
      <c r="C266" s="2">
        <v>26864</v>
      </c>
      <c r="D266" s="2">
        <v>2397</v>
      </c>
      <c r="E266" s="2">
        <v>4129</v>
      </c>
      <c r="F266" s="2">
        <v>42846</v>
      </c>
      <c r="G266" s="2">
        <v>770</v>
      </c>
      <c r="H266" s="2">
        <v>77</v>
      </c>
      <c r="I266" s="2">
        <v>92</v>
      </c>
      <c r="J266" s="2">
        <v>54</v>
      </c>
      <c r="K266" s="2">
        <v>320</v>
      </c>
      <c r="L266" s="2">
        <v>59</v>
      </c>
    </row>
    <row r="267" spans="2:12" s="4" customFormat="1" ht="9.75" customHeight="1">
      <c r="B267" s="6" t="s">
        <v>118</v>
      </c>
      <c r="C267" s="4">
        <f>C266/33390</f>
        <v>0.8045522611560347</v>
      </c>
      <c r="D267" s="4">
        <f>D266/33390</f>
        <v>0.07178796046720574</v>
      </c>
      <c r="E267" s="4">
        <f>E266/33390</f>
        <v>0.12365977837675951</v>
      </c>
      <c r="F267" s="4">
        <f>F266/42846</f>
        <v>1</v>
      </c>
      <c r="G267" s="4">
        <f>G266/770</f>
        <v>1</v>
      </c>
      <c r="H267" s="4">
        <f>H266/223</f>
        <v>0.3452914798206278</v>
      </c>
      <c r="I267" s="4">
        <f>I266/223</f>
        <v>0.4125560538116592</v>
      </c>
      <c r="J267" s="4">
        <f>J266/223</f>
        <v>0.242152466367713</v>
      </c>
      <c r="K267" s="4">
        <f>K266/320</f>
        <v>1</v>
      </c>
      <c r="L267" s="4">
        <f>L266/59</f>
        <v>1</v>
      </c>
    </row>
    <row r="268" spans="2:12" ht="4.5" customHeight="1">
      <c r="B268" s="7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9.75" customHeight="1">
      <c r="A269" s="3" t="s">
        <v>103</v>
      </c>
      <c r="B269" s="7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ht="9.75" customHeight="1">
      <c r="B270" s="5" t="s">
        <v>74</v>
      </c>
      <c r="C270" s="2">
        <v>4943</v>
      </c>
      <c r="D270" s="2">
        <v>397</v>
      </c>
      <c r="E270" s="2">
        <v>565</v>
      </c>
      <c r="F270" s="2">
        <v>6362</v>
      </c>
      <c r="G270" s="2">
        <v>75</v>
      </c>
      <c r="H270" s="2">
        <v>11</v>
      </c>
      <c r="I270" s="2">
        <v>7</v>
      </c>
      <c r="J270" s="2">
        <v>4</v>
      </c>
      <c r="K270" s="2">
        <v>23</v>
      </c>
      <c r="L270" s="2">
        <v>5</v>
      </c>
    </row>
    <row r="271" spans="2:12" ht="9.75" customHeight="1">
      <c r="B271" s="5" t="s">
        <v>99</v>
      </c>
      <c r="C271" s="2">
        <v>13522</v>
      </c>
      <c r="D271" s="2">
        <v>1120</v>
      </c>
      <c r="E271" s="2">
        <v>1756</v>
      </c>
      <c r="F271" s="2">
        <v>30243</v>
      </c>
      <c r="G271" s="2">
        <v>316</v>
      </c>
      <c r="H271" s="2">
        <v>37</v>
      </c>
      <c r="I271" s="2">
        <v>43</v>
      </c>
      <c r="J271" s="2">
        <v>22</v>
      </c>
      <c r="K271" s="2">
        <v>192</v>
      </c>
      <c r="L271" s="2">
        <v>35</v>
      </c>
    </row>
    <row r="272" spans="2:12" ht="9.75" customHeight="1">
      <c r="B272" s="5" t="s">
        <v>83</v>
      </c>
      <c r="C272" s="2">
        <v>4056</v>
      </c>
      <c r="D272" s="2">
        <v>391</v>
      </c>
      <c r="E272" s="2">
        <v>416</v>
      </c>
      <c r="F272" s="2">
        <v>5233</v>
      </c>
      <c r="G272" s="2">
        <v>57</v>
      </c>
      <c r="H272" s="2">
        <v>10</v>
      </c>
      <c r="I272" s="2">
        <v>9</v>
      </c>
      <c r="J272" s="2">
        <v>7</v>
      </c>
      <c r="K272" s="2">
        <v>34</v>
      </c>
      <c r="L272" s="2">
        <v>8</v>
      </c>
    </row>
    <row r="273" spans="1:12" ht="9.75" customHeight="1">
      <c r="A273" s="3" t="s">
        <v>117</v>
      </c>
      <c r="C273" s="2">
        <v>22521</v>
      </c>
      <c r="D273" s="2">
        <v>1908</v>
      </c>
      <c r="E273" s="2">
        <v>2737</v>
      </c>
      <c r="F273" s="2">
        <v>41838</v>
      </c>
      <c r="G273" s="2">
        <v>448</v>
      </c>
      <c r="H273" s="2">
        <v>58</v>
      </c>
      <c r="I273" s="2">
        <v>59</v>
      </c>
      <c r="J273" s="2">
        <v>33</v>
      </c>
      <c r="K273" s="2">
        <v>249</v>
      </c>
      <c r="L273" s="2">
        <v>48</v>
      </c>
    </row>
    <row r="274" spans="2:12" s="4" customFormat="1" ht="9.75" customHeight="1">
      <c r="B274" s="6" t="s">
        <v>118</v>
      </c>
      <c r="C274" s="4">
        <f>C273/27166</f>
        <v>0.8290142089376427</v>
      </c>
      <c r="D274" s="4">
        <f>D273/27166</f>
        <v>0.07023485238901568</v>
      </c>
      <c r="E274" s="4">
        <f>E273/27166</f>
        <v>0.10075093867334167</v>
      </c>
      <c r="F274" s="4">
        <f>F273/41838</f>
        <v>1</v>
      </c>
      <c r="G274" s="4">
        <f>G273/448</f>
        <v>1</v>
      </c>
      <c r="H274" s="4">
        <f>H273/150</f>
        <v>0.38666666666666666</v>
      </c>
      <c r="I274" s="4">
        <f>I273/150</f>
        <v>0.3933333333333333</v>
      </c>
      <c r="J274" s="4">
        <f>J273/150</f>
        <v>0.22</v>
      </c>
      <c r="K274" s="4">
        <f>K273/249</f>
        <v>1</v>
      </c>
      <c r="L274" s="4">
        <f>L273/48</f>
        <v>1</v>
      </c>
    </row>
    <row r="275" spans="2:12" ht="4.5" customHeight="1">
      <c r="B275" s="7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9.75" customHeight="1">
      <c r="A276" s="3" t="s">
        <v>104</v>
      </c>
      <c r="B276" s="7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ht="9.75" customHeight="1">
      <c r="B277" s="5" t="s">
        <v>83</v>
      </c>
      <c r="C277" s="2">
        <v>20873</v>
      </c>
      <c r="D277" s="2">
        <v>1897</v>
      </c>
      <c r="E277" s="2">
        <v>2453</v>
      </c>
      <c r="F277" s="2">
        <v>10446</v>
      </c>
      <c r="G277" s="2">
        <v>235</v>
      </c>
      <c r="H277" s="2">
        <v>25</v>
      </c>
      <c r="I277" s="2">
        <v>39</v>
      </c>
      <c r="J277" s="2">
        <v>14</v>
      </c>
      <c r="K277" s="2">
        <v>87</v>
      </c>
      <c r="L277" s="2">
        <v>57</v>
      </c>
    </row>
    <row r="278" spans="1:12" ht="9.75" customHeight="1">
      <c r="A278" s="3" t="s">
        <v>117</v>
      </c>
      <c r="C278" s="2">
        <v>20873</v>
      </c>
      <c r="D278" s="2">
        <v>1897</v>
      </c>
      <c r="E278" s="2">
        <v>2453</v>
      </c>
      <c r="F278" s="2">
        <v>10446</v>
      </c>
      <c r="G278" s="2">
        <v>235</v>
      </c>
      <c r="H278" s="2">
        <v>25</v>
      </c>
      <c r="I278" s="2">
        <v>39</v>
      </c>
      <c r="J278" s="2">
        <v>14</v>
      </c>
      <c r="K278" s="2">
        <v>87</v>
      </c>
      <c r="L278" s="2">
        <v>57</v>
      </c>
    </row>
    <row r="279" spans="2:12" s="4" customFormat="1" ht="9.75" customHeight="1">
      <c r="B279" s="6" t="s">
        <v>118</v>
      </c>
      <c r="C279" s="4">
        <f>C278/25223</f>
        <v>0.8275383578479959</v>
      </c>
      <c r="D279" s="4">
        <f>D278/25223</f>
        <v>0.07520913452008088</v>
      </c>
      <c r="E279" s="4">
        <f>E278/25223</f>
        <v>0.09725250763192324</v>
      </c>
      <c r="F279" s="4">
        <f>F278/10446</f>
        <v>1</v>
      </c>
      <c r="G279" s="4">
        <f>G278/235</f>
        <v>1</v>
      </c>
      <c r="H279" s="4">
        <f>H278/78</f>
        <v>0.32051282051282054</v>
      </c>
      <c r="I279" s="4">
        <f>I278/78</f>
        <v>0.5</v>
      </c>
      <c r="J279" s="4">
        <f>J278/78</f>
        <v>0.1794871794871795</v>
      </c>
      <c r="K279" s="4">
        <f>K278/87</f>
        <v>1</v>
      </c>
      <c r="L279" s="4">
        <f>L278/57</f>
        <v>1</v>
      </c>
    </row>
    <row r="280" spans="2:12" ht="4.5" customHeight="1">
      <c r="B280" s="7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9.75" customHeight="1">
      <c r="A281" s="3" t="s">
        <v>105</v>
      </c>
      <c r="B281" s="7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ht="9.75" customHeight="1">
      <c r="B282" s="5" t="s">
        <v>99</v>
      </c>
      <c r="C282" s="2">
        <v>3907</v>
      </c>
      <c r="D282" s="2">
        <v>245</v>
      </c>
      <c r="E282" s="2">
        <v>436</v>
      </c>
      <c r="F282" s="2">
        <v>9796</v>
      </c>
      <c r="G282" s="2">
        <v>101</v>
      </c>
      <c r="H282" s="2">
        <v>28</v>
      </c>
      <c r="I282" s="2">
        <v>20</v>
      </c>
      <c r="J282" s="2">
        <v>3</v>
      </c>
      <c r="K282" s="2">
        <v>82</v>
      </c>
      <c r="L282" s="2">
        <v>4</v>
      </c>
    </row>
    <row r="283" spans="2:12" ht="9.75" customHeight="1">
      <c r="B283" s="5" t="s">
        <v>101</v>
      </c>
      <c r="C283" s="2">
        <v>19044</v>
      </c>
      <c r="D283" s="2">
        <v>1833</v>
      </c>
      <c r="E283" s="2">
        <v>2602</v>
      </c>
      <c r="F283" s="2">
        <v>23831</v>
      </c>
      <c r="G283" s="2">
        <v>393</v>
      </c>
      <c r="H283" s="2">
        <v>56</v>
      </c>
      <c r="I283" s="2">
        <v>61</v>
      </c>
      <c r="J283" s="2">
        <v>26</v>
      </c>
      <c r="K283" s="2">
        <v>180</v>
      </c>
      <c r="L283" s="2">
        <v>54</v>
      </c>
    </row>
    <row r="284" spans="1:12" ht="9.75" customHeight="1">
      <c r="A284" s="3" t="s">
        <v>117</v>
      </c>
      <c r="C284" s="2">
        <v>22951</v>
      </c>
      <c r="D284" s="2">
        <v>2078</v>
      </c>
      <c r="E284" s="2">
        <v>3038</v>
      </c>
      <c r="F284" s="2">
        <v>33627</v>
      </c>
      <c r="G284" s="2">
        <v>494</v>
      </c>
      <c r="H284" s="2">
        <v>84</v>
      </c>
      <c r="I284" s="2">
        <v>81</v>
      </c>
      <c r="J284" s="2">
        <v>29</v>
      </c>
      <c r="K284" s="2">
        <v>262</v>
      </c>
      <c r="L284" s="2">
        <v>58</v>
      </c>
    </row>
    <row r="285" spans="2:12" s="4" customFormat="1" ht="9.75" customHeight="1">
      <c r="B285" s="6" t="s">
        <v>118</v>
      </c>
      <c r="C285" s="4">
        <f>C284/28067</f>
        <v>0.817721879787651</v>
      </c>
      <c r="D285" s="4">
        <f>D284/28067</f>
        <v>0.07403712544981651</v>
      </c>
      <c r="E285" s="4">
        <f>E284/28067</f>
        <v>0.10824099476253252</v>
      </c>
      <c r="F285" s="4">
        <f>F284/33627</f>
        <v>1</v>
      </c>
      <c r="G285" s="4">
        <f>G284/494</f>
        <v>1</v>
      </c>
      <c r="H285" s="4">
        <f>H284/194</f>
        <v>0.4329896907216495</v>
      </c>
      <c r="I285" s="4">
        <f>I284/194</f>
        <v>0.4175257731958763</v>
      </c>
      <c r="J285" s="4">
        <f>J284/194</f>
        <v>0.14948453608247422</v>
      </c>
      <c r="K285" s="4">
        <f>K284/262</f>
        <v>1</v>
      </c>
      <c r="L285" s="4">
        <f>L284/58</f>
        <v>1</v>
      </c>
    </row>
    <row r="286" spans="2:12" ht="4.5" customHeight="1">
      <c r="B286" s="7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9.75" customHeight="1">
      <c r="A287" s="3" t="s">
        <v>106</v>
      </c>
      <c r="B287" s="7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ht="9.75" customHeight="1">
      <c r="B288" s="5" t="s">
        <v>101</v>
      </c>
      <c r="C288" s="2">
        <v>30716</v>
      </c>
      <c r="D288" s="2">
        <v>1953</v>
      </c>
      <c r="E288" s="2">
        <v>3366</v>
      </c>
      <c r="F288" s="2">
        <v>38562</v>
      </c>
      <c r="G288" s="2">
        <v>568</v>
      </c>
      <c r="H288" s="2">
        <v>51</v>
      </c>
      <c r="I288" s="2">
        <v>62</v>
      </c>
      <c r="J288" s="2">
        <v>23</v>
      </c>
      <c r="K288" s="2">
        <v>209</v>
      </c>
      <c r="L288" s="2">
        <v>36</v>
      </c>
    </row>
    <row r="289" spans="1:12" ht="9.75" customHeight="1">
      <c r="A289" s="3" t="s">
        <v>117</v>
      </c>
      <c r="C289" s="2">
        <v>30716</v>
      </c>
      <c r="D289" s="2">
        <v>1953</v>
      </c>
      <c r="E289" s="2">
        <v>3366</v>
      </c>
      <c r="F289" s="2">
        <v>38562</v>
      </c>
      <c r="G289" s="2">
        <v>568</v>
      </c>
      <c r="H289" s="2">
        <v>51</v>
      </c>
      <c r="I289" s="2">
        <v>62</v>
      </c>
      <c r="J289" s="2">
        <v>23</v>
      </c>
      <c r="K289" s="2">
        <v>209</v>
      </c>
      <c r="L289" s="2">
        <v>36</v>
      </c>
    </row>
    <row r="290" spans="2:12" s="4" customFormat="1" ht="9.75" customHeight="1">
      <c r="B290" s="6" t="s">
        <v>118</v>
      </c>
      <c r="C290" s="4">
        <f>C289/36035</f>
        <v>0.8523935063133065</v>
      </c>
      <c r="D290" s="4">
        <f>D289/36035</f>
        <v>0.05419730817260996</v>
      </c>
      <c r="E290" s="4">
        <f>E289/36035</f>
        <v>0.09340918551408353</v>
      </c>
      <c r="F290" s="4">
        <f>F289/38562</f>
        <v>1</v>
      </c>
      <c r="G290" s="4">
        <f>G289/568</f>
        <v>1</v>
      </c>
      <c r="H290" s="4">
        <f>H289/136</f>
        <v>0.375</v>
      </c>
      <c r="I290" s="4">
        <f>I289/136</f>
        <v>0.45588235294117646</v>
      </c>
      <c r="J290" s="4">
        <f>J289/136</f>
        <v>0.16911764705882354</v>
      </c>
      <c r="K290" s="4">
        <f>K289/209</f>
        <v>1</v>
      </c>
      <c r="L290" s="4">
        <f>L289/36</f>
        <v>1</v>
      </c>
    </row>
    <row r="291" spans="2:12" ht="4.5" customHeight="1">
      <c r="B291" s="7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9.75" customHeight="1">
      <c r="A292" s="3" t="s">
        <v>107</v>
      </c>
      <c r="B292" s="7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ht="9.75" customHeight="1">
      <c r="B293" s="5" t="s">
        <v>74</v>
      </c>
      <c r="C293" s="2">
        <v>13012</v>
      </c>
      <c r="D293" s="2">
        <v>867</v>
      </c>
      <c r="E293" s="2">
        <v>1219</v>
      </c>
      <c r="F293" s="2">
        <v>15301</v>
      </c>
      <c r="G293" s="2">
        <v>178</v>
      </c>
      <c r="H293" s="2">
        <v>58</v>
      </c>
      <c r="I293" s="2">
        <v>36</v>
      </c>
      <c r="J293" s="2">
        <v>31</v>
      </c>
      <c r="K293" s="2">
        <v>135</v>
      </c>
      <c r="L293" s="2">
        <v>12</v>
      </c>
    </row>
    <row r="294" spans="2:12" ht="9.75" customHeight="1">
      <c r="B294" s="5" t="s">
        <v>99</v>
      </c>
      <c r="C294" s="2">
        <v>19980</v>
      </c>
      <c r="D294" s="2">
        <v>1602</v>
      </c>
      <c r="E294" s="2">
        <v>2468</v>
      </c>
      <c r="F294" s="2">
        <v>33265</v>
      </c>
      <c r="G294" s="2">
        <v>399</v>
      </c>
      <c r="H294" s="2">
        <v>81</v>
      </c>
      <c r="I294" s="2">
        <v>79</v>
      </c>
      <c r="J294" s="2">
        <v>44</v>
      </c>
      <c r="K294" s="2">
        <v>331</v>
      </c>
      <c r="L294" s="2">
        <v>33</v>
      </c>
    </row>
    <row r="295" spans="1:12" ht="9.75" customHeight="1">
      <c r="A295" s="3" t="s">
        <v>117</v>
      </c>
      <c r="C295" s="2">
        <v>32992</v>
      </c>
      <c r="D295" s="2">
        <v>2469</v>
      </c>
      <c r="E295" s="2">
        <v>3687</v>
      </c>
      <c r="F295" s="2">
        <v>48566</v>
      </c>
      <c r="G295" s="2">
        <v>577</v>
      </c>
      <c r="H295" s="2">
        <v>139</v>
      </c>
      <c r="I295" s="2">
        <v>115</v>
      </c>
      <c r="J295" s="2">
        <v>75</v>
      </c>
      <c r="K295" s="2">
        <v>466</v>
      </c>
      <c r="L295" s="2">
        <v>45</v>
      </c>
    </row>
    <row r="296" spans="2:12" s="4" customFormat="1" ht="9.75" customHeight="1">
      <c r="B296" s="6" t="s">
        <v>118</v>
      </c>
      <c r="C296" s="4">
        <f>C295/39148</f>
        <v>0.8427505875140493</v>
      </c>
      <c r="D296" s="4">
        <f>D295/39148</f>
        <v>0.06306835598242566</v>
      </c>
      <c r="E296" s="4">
        <f>E295/39148</f>
        <v>0.09418105650352508</v>
      </c>
      <c r="F296" s="4">
        <f>F295/48566</f>
        <v>1</v>
      </c>
      <c r="G296" s="4">
        <f>G295/577</f>
        <v>1</v>
      </c>
      <c r="H296" s="4">
        <f>H295/329</f>
        <v>0.42249240121580545</v>
      </c>
      <c r="I296" s="4">
        <f>I295/329</f>
        <v>0.3495440729483283</v>
      </c>
      <c r="J296" s="4">
        <f>J295/329</f>
        <v>0.22796352583586627</v>
      </c>
      <c r="K296" s="4">
        <f>K295/466</f>
        <v>1</v>
      </c>
      <c r="L296" s="4">
        <f>L295/45</f>
        <v>1</v>
      </c>
    </row>
    <row r="297" spans="2:12" ht="4.5" customHeight="1">
      <c r="B297" s="7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9.75" customHeight="1">
      <c r="A298" s="3" t="s">
        <v>108</v>
      </c>
      <c r="B298" s="7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ht="9.75" customHeight="1">
      <c r="B299" s="5" t="s">
        <v>99</v>
      </c>
      <c r="C299" s="2">
        <v>17247</v>
      </c>
      <c r="D299" s="2">
        <v>1755</v>
      </c>
      <c r="E299" s="2">
        <v>1769</v>
      </c>
      <c r="F299" s="2">
        <v>14840</v>
      </c>
      <c r="G299" s="2">
        <v>280</v>
      </c>
      <c r="H299" s="2">
        <v>38</v>
      </c>
      <c r="I299" s="2">
        <v>45</v>
      </c>
      <c r="J299" s="2">
        <v>24</v>
      </c>
      <c r="K299" s="2">
        <v>161</v>
      </c>
      <c r="L299" s="2">
        <v>63</v>
      </c>
    </row>
    <row r="300" spans="1:12" ht="9.75" customHeight="1">
      <c r="A300" s="3" t="s">
        <v>117</v>
      </c>
      <c r="C300" s="2">
        <v>17247</v>
      </c>
      <c r="D300" s="2">
        <v>1755</v>
      </c>
      <c r="E300" s="2">
        <v>1769</v>
      </c>
      <c r="F300" s="2">
        <v>14840</v>
      </c>
      <c r="G300" s="2">
        <v>280</v>
      </c>
      <c r="H300" s="2">
        <v>38</v>
      </c>
      <c r="I300" s="2">
        <v>45</v>
      </c>
      <c r="J300" s="2">
        <v>24</v>
      </c>
      <c r="K300" s="2">
        <v>161</v>
      </c>
      <c r="L300" s="2">
        <v>63</v>
      </c>
    </row>
    <row r="301" spans="2:12" s="4" customFormat="1" ht="9.75" customHeight="1">
      <c r="B301" s="6" t="s">
        <v>118</v>
      </c>
      <c r="C301" s="4">
        <f>C300/20771</f>
        <v>0.8303403784122093</v>
      </c>
      <c r="D301" s="4">
        <f>D300/20771</f>
        <v>0.0844928024649752</v>
      </c>
      <c r="E301" s="4">
        <f>E300/20771</f>
        <v>0.08516681912281546</v>
      </c>
      <c r="F301" s="4">
        <f>F300/14840</f>
        <v>1</v>
      </c>
      <c r="G301" s="4">
        <f>G300/280</f>
        <v>1</v>
      </c>
      <c r="H301" s="4">
        <f>H300/107</f>
        <v>0.35514018691588783</v>
      </c>
      <c r="I301" s="4">
        <f>I300/107</f>
        <v>0.4205607476635514</v>
      </c>
      <c r="J301" s="4">
        <f>J300/107</f>
        <v>0.22429906542056074</v>
      </c>
      <c r="K301" s="4">
        <f>K300/161</f>
        <v>1</v>
      </c>
      <c r="L301" s="4">
        <f>L300/63</f>
        <v>1</v>
      </c>
    </row>
    <row r="302" spans="2:12" ht="4.5" customHeight="1">
      <c r="B302" s="7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9.75" customHeight="1">
      <c r="A303" s="3" t="s">
        <v>109</v>
      </c>
      <c r="B303" s="7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ht="9.75" customHeight="1">
      <c r="B304" s="5" t="s">
        <v>99</v>
      </c>
      <c r="C304" s="2">
        <v>29345</v>
      </c>
      <c r="D304" s="2">
        <v>1621</v>
      </c>
      <c r="E304" s="2">
        <v>2539</v>
      </c>
      <c r="F304" s="2">
        <v>49853</v>
      </c>
      <c r="G304" s="2">
        <v>525</v>
      </c>
      <c r="H304" s="2">
        <v>132</v>
      </c>
      <c r="I304" s="2">
        <v>110</v>
      </c>
      <c r="J304" s="2">
        <v>42</v>
      </c>
      <c r="K304" s="2">
        <v>484</v>
      </c>
      <c r="L304" s="2">
        <v>49</v>
      </c>
    </row>
    <row r="305" spans="1:12" ht="9.75" customHeight="1">
      <c r="A305" s="3" t="s">
        <v>117</v>
      </c>
      <c r="C305" s="2">
        <v>29345</v>
      </c>
      <c r="D305" s="2">
        <v>1621</v>
      </c>
      <c r="E305" s="2">
        <v>2539</v>
      </c>
      <c r="F305" s="2">
        <v>49853</v>
      </c>
      <c r="G305" s="2">
        <v>525</v>
      </c>
      <c r="H305" s="2">
        <v>132</v>
      </c>
      <c r="I305" s="2">
        <v>110</v>
      </c>
      <c r="J305" s="2">
        <v>42</v>
      </c>
      <c r="K305" s="2">
        <v>484</v>
      </c>
      <c r="L305" s="2">
        <v>49</v>
      </c>
    </row>
    <row r="306" spans="2:12" s="4" customFormat="1" ht="9.75" customHeight="1">
      <c r="B306" s="6" t="s">
        <v>118</v>
      </c>
      <c r="C306" s="4">
        <f>C305/33505</f>
        <v>0.8758394269512013</v>
      </c>
      <c r="D306" s="4">
        <f>D305/33505</f>
        <v>0.04838083868079391</v>
      </c>
      <c r="E306" s="4">
        <f>E305/33505</f>
        <v>0.07577973436800478</v>
      </c>
      <c r="F306" s="4">
        <f>F305/49853</f>
        <v>1</v>
      </c>
      <c r="G306" s="4">
        <f>G305/525</f>
        <v>1</v>
      </c>
      <c r="H306" s="4">
        <f>H305/284</f>
        <v>0.4647887323943662</v>
      </c>
      <c r="I306" s="4">
        <f>I305/284</f>
        <v>0.3873239436619718</v>
      </c>
      <c r="J306" s="4">
        <f>J305/284</f>
        <v>0.14788732394366197</v>
      </c>
      <c r="K306" s="4">
        <f>K305/484</f>
        <v>1</v>
      </c>
      <c r="L306" s="4">
        <f>L305/49</f>
        <v>1</v>
      </c>
    </row>
    <row r="307" spans="2:12" ht="4.5" customHeight="1">
      <c r="B307" s="7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9.75" customHeight="1">
      <c r="A308" s="3" t="s">
        <v>111</v>
      </c>
      <c r="B308" s="7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ht="9.75" customHeight="1">
      <c r="B309" s="5" t="s">
        <v>101</v>
      </c>
      <c r="C309" s="2">
        <v>8454</v>
      </c>
      <c r="D309" s="2">
        <v>747</v>
      </c>
      <c r="E309" s="2">
        <v>1130</v>
      </c>
      <c r="F309" s="2">
        <v>14191</v>
      </c>
      <c r="G309" s="2">
        <v>238</v>
      </c>
      <c r="H309" s="2">
        <v>21</v>
      </c>
      <c r="I309" s="2">
        <v>23</v>
      </c>
      <c r="J309" s="2">
        <v>13</v>
      </c>
      <c r="K309" s="2">
        <v>99</v>
      </c>
      <c r="L309" s="2">
        <v>19</v>
      </c>
    </row>
    <row r="310" spans="2:12" ht="9.75" customHeight="1">
      <c r="B310" s="5" t="s">
        <v>110</v>
      </c>
      <c r="C310" s="2">
        <v>17482</v>
      </c>
      <c r="D310" s="2">
        <v>1196</v>
      </c>
      <c r="E310" s="2">
        <v>1798</v>
      </c>
      <c r="F310" s="2">
        <v>29960</v>
      </c>
      <c r="G310" s="2">
        <v>460</v>
      </c>
      <c r="H310" s="2">
        <v>70</v>
      </c>
      <c r="I310" s="2">
        <v>77</v>
      </c>
      <c r="J310" s="2">
        <v>19</v>
      </c>
      <c r="K310" s="2">
        <v>292</v>
      </c>
      <c r="L310" s="2">
        <v>29</v>
      </c>
    </row>
    <row r="311" spans="1:12" ht="9.75" customHeight="1">
      <c r="A311" s="3" t="s">
        <v>117</v>
      </c>
      <c r="C311" s="2">
        <v>25936</v>
      </c>
      <c r="D311" s="2">
        <v>1943</v>
      </c>
      <c r="E311" s="2">
        <v>2928</v>
      </c>
      <c r="F311" s="2">
        <v>44151</v>
      </c>
      <c r="G311" s="2">
        <v>698</v>
      </c>
      <c r="H311" s="2">
        <v>91</v>
      </c>
      <c r="I311" s="2">
        <v>100</v>
      </c>
      <c r="J311" s="2">
        <v>32</v>
      </c>
      <c r="K311" s="2">
        <v>391</v>
      </c>
      <c r="L311" s="2">
        <v>48</v>
      </c>
    </row>
    <row r="312" spans="2:12" s="4" customFormat="1" ht="9.75" customHeight="1">
      <c r="B312" s="6" t="s">
        <v>118</v>
      </c>
      <c r="C312" s="4">
        <f>C311/30807</f>
        <v>0.8418865842178725</v>
      </c>
      <c r="D312" s="4">
        <f>D311/30807</f>
        <v>0.06307008147498945</v>
      </c>
      <c r="E312" s="4">
        <f>E311/30807</f>
        <v>0.09504333430713799</v>
      </c>
      <c r="F312" s="4">
        <f>F311/44151</f>
        <v>1</v>
      </c>
      <c r="G312" s="4">
        <f>G311/698</f>
        <v>1</v>
      </c>
      <c r="H312" s="4">
        <f>H311/223</f>
        <v>0.4080717488789238</v>
      </c>
      <c r="I312" s="4">
        <f>I311/223</f>
        <v>0.4484304932735426</v>
      </c>
      <c r="J312" s="4">
        <f>J311/223</f>
        <v>0.14349775784753363</v>
      </c>
      <c r="K312" s="4">
        <f>K311/391</f>
        <v>1</v>
      </c>
      <c r="L312" s="4">
        <f>L311/48</f>
        <v>1</v>
      </c>
    </row>
    <row r="313" spans="2:12" ht="4.5" customHeight="1">
      <c r="B313" s="7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9.75" customHeight="1">
      <c r="A314" s="3" t="s">
        <v>112</v>
      </c>
      <c r="B314" s="7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ht="9.75" customHeight="1">
      <c r="B315" s="5" t="s">
        <v>110</v>
      </c>
      <c r="C315" s="2">
        <v>51860</v>
      </c>
      <c r="D315" s="2">
        <v>1953</v>
      </c>
      <c r="E315" s="2">
        <v>3692</v>
      </c>
      <c r="F315" s="2">
        <v>60507</v>
      </c>
      <c r="G315" s="2">
        <v>778</v>
      </c>
      <c r="H315" s="2">
        <v>210</v>
      </c>
      <c r="I315" s="2">
        <v>176</v>
      </c>
      <c r="J315" s="2">
        <v>110</v>
      </c>
      <c r="K315" s="2">
        <v>592</v>
      </c>
      <c r="L315" s="2">
        <v>65</v>
      </c>
    </row>
    <row r="316" spans="1:12" ht="9.75" customHeight="1">
      <c r="A316" s="3" t="s">
        <v>117</v>
      </c>
      <c r="C316" s="2">
        <v>51860</v>
      </c>
      <c r="D316" s="2">
        <v>1953</v>
      </c>
      <c r="E316" s="2">
        <v>3692</v>
      </c>
      <c r="F316" s="2">
        <v>60507</v>
      </c>
      <c r="G316" s="2">
        <v>778</v>
      </c>
      <c r="H316" s="2">
        <v>210</v>
      </c>
      <c r="I316" s="2">
        <v>176</v>
      </c>
      <c r="J316" s="2">
        <v>110</v>
      </c>
      <c r="K316" s="2">
        <v>592</v>
      </c>
      <c r="L316" s="2">
        <v>65</v>
      </c>
    </row>
    <row r="317" spans="2:12" s="4" customFormat="1" ht="9.75" customHeight="1">
      <c r="B317" s="6" t="s">
        <v>118</v>
      </c>
      <c r="C317" s="4">
        <f>C316/57505</f>
        <v>0.9018346230762543</v>
      </c>
      <c r="D317" s="4">
        <f>D316/57505</f>
        <v>0.033962264150943396</v>
      </c>
      <c r="E317" s="4">
        <f>E316/57505</f>
        <v>0.06420311277280237</v>
      </c>
      <c r="F317" s="4">
        <f>F316/60507</f>
        <v>1</v>
      </c>
      <c r="G317" s="4">
        <f>G316/778</f>
        <v>1</v>
      </c>
      <c r="H317" s="4">
        <f>H316/496</f>
        <v>0.42338709677419356</v>
      </c>
      <c r="I317" s="4">
        <f>I316/496</f>
        <v>0.3548387096774194</v>
      </c>
      <c r="J317" s="4">
        <f>J316/496</f>
        <v>0.2217741935483871</v>
      </c>
      <c r="K317" s="4">
        <f>K316/592</f>
        <v>1</v>
      </c>
      <c r="L317" s="4">
        <f>L316/65</f>
        <v>1</v>
      </c>
    </row>
    <row r="318" spans="2:12" ht="4.5" customHeight="1">
      <c r="B318" s="7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9.75" customHeight="1">
      <c r="A319" s="3" t="s">
        <v>114</v>
      </c>
      <c r="B319" s="7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ht="9.75" customHeight="1">
      <c r="B320" s="5" t="s">
        <v>113</v>
      </c>
      <c r="C320" s="2">
        <v>7170</v>
      </c>
      <c r="D320" s="2">
        <v>1187</v>
      </c>
      <c r="E320" s="2">
        <v>1084</v>
      </c>
      <c r="F320" s="2">
        <v>4956</v>
      </c>
      <c r="G320" s="2">
        <v>139</v>
      </c>
      <c r="H320" s="2">
        <v>9</v>
      </c>
      <c r="I320" s="2">
        <v>7</v>
      </c>
      <c r="J320" s="2">
        <v>5</v>
      </c>
      <c r="K320" s="2">
        <v>15</v>
      </c>
      <c r="L320" s="2">
        <v>21</v>
      </c>
    </row>
    <row r="321" spans="2:12" ht="9.75" customHeight="1">
      <c r="B321" s="5" t="s">
        <v>110</v>
      </c>
      <c r="C321" s="2">
        <v>29076</v>
      </c>
      <c r="D321" s="2">
        <v>2689</v>
      </c>
      <c r="E321" s="2">
        <v>2732</v>
      </c>
      <c r="F321" s="2">
        <v>17247</v>
      </c>
      <c r="G321" s="2">
        <v>312</v>
      </c>
      <c r="H321" s="2">
        <v>46</v>
      </c>
      <c r="I321" s="2">
        <v>42</v>
      </c>
      <c r="J321" s="2">
        <v>25</v>
      </c>
      <c r="K321" s="2">
        <v>146</v>
      </c>
      <c r="L321" s="2">
        <v>56</v>
      </c>
    </row>
    <row r="322" spans="1:12" ht="9.75" customHeight="1">
      <c r="A322" s="3" t="s">
        <v>117</v>
      </c>
      <c r="C322" s="2">
        <v>36246</v>
      </c>
      <c r="D322" s="2">
        <v>3876</v>
      </c>
      <c r="E322" s="2">
        <v>3816</v>
      </c>
      <c r="F322" s="2">
        <v>22203</v>
      </c>
      <c r="G322" s="2">
        <v>451</v>
      </c>
      <c r="H322" s="2">
        <v>55</v>
      </c>
      <c r="I322" s="2">
        <v>49</v>
      </c>
      <c r="J322" s="2">
        <v>30</v>
      </c>
      <c r="K322" s="2">
        <v>161</v>
      </c>
      <c r="L322" s="2">
        <v>77</v>
      </c>
    </row>
    <row r="323" spans="2:12" s="4" customFormat="1" ht="9.75" customHeight="1">
      <c r="B323" s="6" t="s">
        <v>118</v>
      </c>
      <c r="C323" s="4">
        <f>C322/43938</f>
        <v>0.8249351358732759</v>
      </c>
      <c r="D323" s="4">
        <f>D322/43938</f>
        <v>0.08821521234466749</v>
      </c>
      <c r="E323" s="4">
        <f>E322/43938</f>
        <v>0.08684965178205653</v>
      </c>
      <c r="F323" s="4">
        <f>F322/22203</f>
        <v>1</v>
      </c>
      <c r="G323" s="4">
        <f>G322/451</f>
        <v>1</v>
      </c>
      <c r="H323" s="4">
        <f>H322/134</f>
        <v>0.41044776119402987</v>
      </c>
      <c r="I323" s="4">
        <f>I322/134</f>
        <v>0.3656716417910448</v>
      </c>
      <c r="J323" s="4">
        <f>J322/134</f>
        <v>0.22388059701492538</v>
      </c>
      <c r="K323" s="4">
        <f>K322/161</f>
        <v>1</v>
      </c>
      <c r="L323" s="4">
        <f>L322/77</f>
        <v>1</v>
      </c>
    </row>
    <row r="324" spans="2:12" ht="4.5" customHeight="1">
      <c r="B324" s="7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9.75" customHeight="1">
      <c r="A325" s="3" t="s">
        <v>115</v>
      </c>
      <c r="B325" s="7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ht="9.75" customHeight="1">
      <c r="B326" s="5" t="s">
        <v>110</v>
      </c>
      <c r="C326" s="2">
        <v>34985</v>
      </c>
      <c r="D326" s="2">
        <v>2171</v>
      </c>
      <c r="E326" s="2">
        <v>3651</v>
      </c>
      <c r="F326" s="2">
        <v>52510</v>
      </c>
      <c r="G326" s="2">
        <v>745</v>
      </c>
      <c r="H326" s="2">
        <v>119</v>
      </c>
      <c r="I326" s="2">
        <v>95</v>
      </c>
      <c r="J326" s="2">
        <v>69</v>
      </c>
      <c r="K326" s="2">
        <v>484</v>
      </c>
      <c r="L326" s="2">
        <v>50</v>
      </c>
    </row>
    <row r="327" spans="1:12" ht="9.75" customHeight="1">
      <c r="A327" s="3" t="s">
        <v>117</v>
      </c>
      <c r="C327" s="2">
        <v>34985</v>
      </c>
      <c r="D327" s="2">
        <v>2171</v>
      </c>
      <c r="E327" s="2">
        <v>3651</v>
      </c>
      <c r="F327" s="2">
        <v>52510</v>
      </c>
      <c r="G327" s="2">
        <v>745</v>
      </c>
      <c r="H327" s="2">
        <v>119</v>
      </c>
      <c r="I327" s="2">
        <v>95</v>
      </c>
      <c r="J327" s="2">
        <v>69</v>
      </c>
      <c r="K327" s="2">
        <v>484</v>
      </c>
      <c r="L327" s="2">
        <v>50</v>
      </c>
    </row>
    <row r="328" spans="2:12" s="4" customFormat="1" ht="9.75" customHeight="1">
      <c r="B328" s="6" t="s">
        <v>118</v>
      </c>
      <c r="C328" s="4">
        <f>C327/40807</f>
        <v>0.8573283995392947</v>
      </c>
      <c r="D328" s="4">
        <f>D327/40807</f>
        <v>0.05320165657852819</v>
      </c>
      <c r="E328" s="4">
        <f>E327/40807</f>
        <v>0.08946994388217708</v>
      </c>
      <c r="F328" s="4">
        <f>F327/52510</f>
        <v>1</v>
      </c>
      <c r="G328" s="4">
        <f>G327/745</f>
        <v>1</v>
      </c>
      <c r="H328" s="4">
        <f>H327/283</f>
        <v>0.4204946996466431</v>
      </c>
      <c r="I328" s="4">
        <f>I327/283</f>
        <v>0.33568904593639576</v>
      </c>
      <c r="J328" s="4">
        <f>J327/283</f>
        <v>0.24381625441696114</v>
      </c>
      <c r="K328" s="4">
        <f>K327/484</f>
        <v>1</v>
      </c>
      <c r="L328" s="4">
        <f>L327/50</f>
        <v>1</v>
      </c>
    </row>
    <row r="329" spans="2:12" ht="4.5" customHeight="1">
      <c r="B329" s="7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9.75" customHeight="1">
      <c r="A330" s="3" t="s">
        <v>116</v>
      </c>
      <c r="B330" s="7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ht="9.75" customHeight="1">
      <c r="B331" s="5" t="s">
        <v>110</v>
      </c>
      <c r="C331" s="2">
        <v>39233</v>
      </c>
      <c r="D331" s="2">
        <v>1683</v>
      </c>
      <c r="E331" s="2">
        <v>2942</v>
      </c>
      <c r="F331" s="2">
        <v>24315</v>
      </c>
      <c r="G331" s="2">
        <v>510</v>
      </c>
      <c r="H331" s="2">
        <v>301</v>
      </c>
      <c r="I331" s="2">
        <v>193</v>
      </c>
      <c r="J331" s="2">
        <v>90</v>
      </c>
      <c r="K331" s="2">
        <v>429</v>
      </c>
      <c r="L331" s="2">
        <v>84</v>
      </c>
    </row>
    <row r="332" spans="1:12" ht="9.75" customHeight="1">
      <c r="A332" s="3" t="s">
        <v>117</v>
      </c>
      <c r="C332" s="2">
        <v>39233</v>
      </c>
      <c r="D332" s="2">
        <v>1683</v>
      </c>
      <c r="E332" s="2">
        <v>2942</v>
      </c>
      <c r="F332" s="2">
        <v>24315</v>
      </c>
      <c r="G332" s="2">
        <v>510</v>
      </c>
      <c r="H332" s="2">
        <v>301</v>
      </c>
      <c r="I332" s="2">
        <v>193</v>
      </c>
      <c r="J332" s="2">
        <v>90</v>
      </c>
      <c r="K332" s="2">
        <v>429</v>
      </c>
      <c r="L332" s="2">
        <v>84</v>
      </c>
    </row>
    <row r="333" spans="2:12" s="4" customFormat="1" ht="9.75" customHeight="1">
      <c r="B333" s="6" t="s">
        <v>118</v>
      </c>
      <c r="C333" s="4">
        <f>C332/43858</f>
        <v>0.8945460349309134</v>
      </c>
      <c r="D333" s="4">
        <f>D332/43858</f>
        <v>0.038373842856491404</v>
      </c>
      <c r="E333" s="4">
        <f>E332/43858</f>
        <v>0.0670801222125952</v>
      </c>
      <c r="F333" s="4">
        <f>F332/24315</f>
        <v>1</v>
      </c>
      <c r="G333" s="4">
        <f>G332/510</f>
        <v>1</v>
      </c>
      <c r="H333" s="4">
        <f>H332/584</f>
        <v>0.5154109589041096</v>
      </c>
      <c r="I333" s="4">
        <f>I332/584</f>
        <v>0.3304794520547945</v>
      </c>
      <c r="J333" s="4">
        <f>J332/584</f>
        <v>0.1541095890410959</v>
      </c>
      <c r="K333" s="4">
        <f>K332/429</f>
        <v>1</v>
      </c>
      <c r="L333" s="4">
        <f>L332/84</f>
        <v>1</v>
      </c>
    </row>
    <row r="334" spans="2:12" ht="4.5" customHeight="1">
      <c r="B334" s="7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ht="9">
      <c r="B335" s="7"/>
      <c r="C335" s="2"/>
      <c r="D335" s="2"/>
      <c r="E335" s="2"/>
      <c r="F335" s="2"/>
      <c r="G335" s="2"/>
      <c r="H335" s="2"/>
      <c r="I335" s="2"/>
      <c r="J335" s="2"/>
      <c r="K335" s="2"/>
      <c r="L335" s="2"/>
    </row>
  </sheetData>
  <printOptions/>
  <pageMargins left="0.44" right="0.36" top="1" bottom="0.63" header="0.3" footer="0.3"/>
  <pageSetup firstPageNumber="116" useFirstPageNumber="1" fitToHeight="0" fitToWidth="0" horizontalDpi="600" verticalDpi="600" orientation="portrait" scale="99" r:id="rId1"/>
  <headerFooter alignWithMargins="0">
    <oddHeader>&amp;C&amp;"Arial,Bold"&amp;11Supplement to the Statement of Vote
Counties by Congressional Districts
for US Senator</oddHeader>
    <oddFooter>&amp;C&amp;"Arial,Bold"&amp;8&amp;P</oddFooter>
  </headerFooter>
  <rowBreaks count="3" manualBreakCount="3">
    <brk id="71" max="255" man="1"/>
    <brk id="136" max="11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2006-11-10T22:18:34Z</cp:lastPrinted>
  <dcterms:created xsi:type="dcterms:W3CDTF">2006-11-10T22:19:00Z</dcterms:created>
  <dcterms:modified xsi:type="dcterms:W3CDTF">2006-11-10T22:19:06Z</dcterms:modified>
  <cp:category/>
  <cp:version/>
  <cp:contentType/>
  <cp:contentStatus/>
</cp:coreProperties>
</file>