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'Sheet1'!$A$1:$P$273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<sst xmlns="http://schemas.openxmlformats.org/spreadsheetml/2006/main" count="258" uniqueCount="120">
  <si>
    <t>Barbara Boxer</t>
  </si>
  <si>
    <t>Robert M. "Mickey" Kaus</t>
  </si>
  <si>
    <t>Brian Quintana</t>
  </si>
  <si>
    <t>Chuck DeVore</t>
  </si>
  <si>
    <t>Carly Fiorina</t>
  </si>
  <si>
    <t>Tom Campbell</t>
  </si>
  <si>
    <t>Tim Kalemkarian</t>
  </si>
  <si>
    <t>Don J. Grundmann</t>
  </si>
  <si>
    <t>Edward C. Noonan</t>
  </si>
  <si>
    <t>Duane Roberts</t>
  </si>
  <si>
    <t>Gail K. Lightfoot</t>
  </si>
  <si>
    <t>Marsha Feinland</t>
  </si>
  <si>
    <t>DEM</t>
  </si>
  <si>
    <t>REP</t>
  </si>
  <si>
    <t>AI</t>
  </si>
  <si>
    <t>GRN</t>
  </si>
  <si>
    <t>LIB</t>
  </si>
  <si>
    <t>PF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</si>
  <si>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</si>
  <si>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</si>
  <si>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</si>
  <si>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</si>
  <si>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</si>
  <si>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</si>
  <si>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</si>
  <si>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</si>
  <si>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</si>
  <si>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</si>
  <si>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</si>
  <si>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</si>
  <si>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Humboldt</t>
  </si>
  <si>
    <t>Lake</t>
  </si>
  <si>
    <t>Mendocino</t>
  </si>
  <si>
    <t>Napa</t>
  </si>
  <si>
    <t>Solano</t>
  </si>
  <si>
    <t>Sonoma</t>
  </si>
  <si>
    <t>Marin</t>
  </si>
  <si>
    <t>San Francisco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</si>
  <si>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</si>
  <si>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</si>
  <si>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</si>
  <si>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</si>
  <si>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</si>
  <si>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</si>
  <si>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</si>
  <si>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</si>
  <si>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</si>
  <si>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</si>
  <si>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San Joaquin</t>
  </si>
  <si>
    <t>Yolo</t>
  </si>
  <si>
    <t>Contra Costa</t>
  </si>
  <si>
    <t>San Mateo</t>
  </si>
  <si>
    <t>Alameda</t>
  </si>
  <si>
    <t>Santa Clara</t>
  </si>
  <si>
    <t>Santa Cruz</t>
  </si>
  <si>
    <t>Madera</t>
  </si>
  <si>
    <t>Merced</t>
  </si>
  <si>
    <t>Monterey</t>
  </si>
  <si>
    <t>San Benito</t>
  </si>
  <si>
    <t>Stanislaus</t>
  </si>
  <si>
    <t>Fresno</t>
  </si>
  <si>
    <t>Mariposa</t>
  </si>
  <si>
    <t>Tuolumne</t>
  </si>
  <si>
    <t>San Luis Obispo</t>
  </si>
  <si>
    <t>Santa Barbara</t>
  </si>
  <si>
    <t>Kern</t>
  </si>
  <si>
    <t>Kings</t>
  </si>
  <si>
    <t>Tulare</t>
  </si>
  <si>
    <t>Los Angeles</t>
  </si>
  <si>
    <t>San Bernardino</t>
  </si>
  <si>
    <t>Ventura</t>
  </si>
  <si>
    <t>Inyo</t>
  </si>
  <si>
    <t>Orange</t>
  </si>
  <si>
    <t>Riverside</t>
  </si>
  <si>
    <t>San Diego</t>
  </si>
  <si>
    <t>Imperial</t>
  </si>
  <si>
    <t>District Totals</t>
  </si>
  <si>
    <t xml:space="preserve">Senate District 32 </t>
  </si>
  <si>
    <t xml:space="preserve">Senate District 33 </t>
  </si>
  <si>
    <t xml:space="preserve">Senate District 34 </t>
  </si>
  <si>
    <t xml:space="preserve">Senate District 35 </t>
  </si>
  <si>
    <t xml:space="preserve">Senate District 36 </t>
  </si>
  <si>
    <t xml:space="preserve">Senate District 37 </t>
  </si>
  <si>
    <t xml:space="preserve">Senate District 38 </t>
  </si>
  <si>
    <t xml:space="preserve">Senate District 39 </t>
  </si>
  <si>
    <t xml:space="preserve">Senate District 40 </t>
  </si>
  <si>
    <t xml:space="preserve">Senate District 1 </t>
  </si>
  <si>
    <t xml:space="preserve">Senate District 2 </t>
  </si>
  <si>
    <t xml:space="preserve">Senate District 3 </t>
  </si>
  <si>
    <t xml:space="preserve">Senate District 4 </t>
  </si>
  <si>
    <t xml:space="preserve">Senate District 5 </t>
  </si>
  <si>
    <t xml:space="preserve">Senate District 6 </t>
  </si>
  <si>
    <t xml:space="preserve">Senate District 7 </t>
  </si>
  <si>
    <t xml:space="preserve">Senate District 8 </t>
  </si>
  <si>
    <t xml:space="preserve">Senate District 9 </t>
  </si>
  <si>
    <t xml:space="preserve">Senate District 10 </t>
  </si>
  <si>
    <t xml:space="preserve">Senate District 11 </t>
  </si>
  <si>
    <t xml:space="preserve">Senate District 12 </t>
  </si>
  <si>
    <t xml:space="preserve">Senate District 13 </t>
  </si>
  <si>
    <t xml:space="preserve">Senate District 14 </t>
  </si>
  <si>
    <t xml:space="preserve">Senate District 15 </t>
  </si>
  <si>
    <t xml:space="preserve">Senate District 16 </t>
  </si>
  <si>
    <t xml:space="preserve">Senate District 17 </t>
  </si>
  <si>
    <t xml:space="preserve">Senate District 18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</si>
  <si>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</si>
  <si>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</si>
  <si>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</si>
  <si>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</si>
  <si>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</si>
  <si>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</si>
  <si>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</si>
  <si>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</si>
  <si>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</si>
  <si>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</si>
  <si>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</si>
  <si>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</si>
  <si>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31 </t>
  </si>
  <si>
    <t>Al      Ramirez</t>
  </si>
  <si>
    <t>Al          Salehi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</si>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</sst>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showOutlineSymbols="0" view="pageBreakPreview" zoomScaleSheetLayoutView="100" workbookViewId="0" topLeftCell="A1">
      <selection activeCell="A1" sqref="A1:IV1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8" width="7.7109375" style="1" customWidth="1"/>
    <col min="9" max="9" width="8.140625" style="1" customWidth="1"/>
    <col min="10" max="16384" width="7.7109375" style="1" customWidth="1"/>
  </cols>
  <sheetData>
    <row r="1" spans="3:16" s="12" customFormat="1" ht="29.25" customHeight="1"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117</v>
      </c>
      <c r="K1" s="12" t="s">
        <v>7</v>
      </c>
      <c r="L1" s="12" t="s">
        <v>8</v>
      </c>
      <c r="M1" s="12" t="s">
        <v>118</v>
      </c>
      <c r="N1" s="12" t="s">
        <v>9</v>
      </c>
      <c r="O1" s="12" t="s">
        <v>10</v>
      </c>
      <c r="P1" s="12" t="s">
        <v>11</v>
      </c>
    </row>
    <row r="2" spans="3:16" s="11" customFormat="1" ht="10.5" customHeight="1">
      <c r="C2" s="11" t="s">
        <v>12</v>
      </c>
      <c r="D2" s="11" t="s">
        <v>12</v>
      </c>
      <c r="E2" s="11" t="s">
        <v>12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13</v>
      </c>
      <c r="K2" s="11" t="s">
        <v>14</v>
      </c>
      <c r="L2" s="11" t="s">
        <v>14</v>
      </c>
      <c r="M2" s="11" t="s">
        <v>14</v>
      </c>
      <c r="N2" s="11" t="s">
        <v>15</v>
      </c>
      <c r="O2" s="11" t="s">
        <v>16</v>
      </c>
      <c r="P2" s="11" t="s">
        <v>17</v>
      </c>
    </row>
    <row r="3" spans="1:2" s="10" customFormat="1" ht="10.5" customHeight="1">
      <c r="A3" s="8" t="s">
        <v>86</v>
      </c>
      <c r="B3" s="9"/>
    </row>
    <row r="4" spans="2:16" ht="10.5" customHeight="1">
      <c r="B4" s="5" t="s">
        <v>18</v>
      </c>
      <c r="C4" s="2">
        <v>162</v>
      </c>
      <c r="D4" s="2">
        <v>12</v>
      </c>
      <c r="E4" s="2">
        <v>23</v>
      </c>
      <c r="F4" s="2">
        <v>38</v>
      </c>
      <c r="G4" s="2">
        <v>84</v>
      </c>
      <c r="H4" s="2">
        <v>53</v>
      </c>
      <c r="I4" s="2">
        <v>0</v>
      </c>
      <c r="J4" s="2">
        <v>4</v>
      </c>
      <c r="K4" s="2">
        <v>2</v>
      </c>
      <c r="L4" s="2">
        <v>4</v>
      </c>
      <c r="M4" s="2">
        <v>2</v>
      </c>
      <c r="N4" s="2">
        <v>3</v>
      </c>
      <c r="O4" s="2">
        <v>0</v>
      </c>
      <c r="P4" s="2">
        <v>0</v>
      </c>
    </row>
    <row r="5" spans="2:16" ht="10.5" customHeight="1">
      <c r="B5" s="5" t="s">
        <v>19</v>
      </c>
      <c r="C5" s="2">
        <v>2737</v>
      </c>
      <c r="D5" s="2">
        <v>310</v>
      </c>
      <c r="E5" s="2">
        <v>941</v>
      </c>
      <c r="F5" s="2">
        <v>781</v>
      </c>
      <c r="G5" s="2">
        <v>4044</v>
      </c>
      <c r="H5" s="2">
        <v>1074</v>
      </c>
      <c r="I5" s="2">
        <v>73</v>
      </c>
      <c r="J5" s="2">
        <v>98</v>
      </c>
      <c r="K5" s="2">
        <v>46</v>
      </c>
      <c r="L5" s="2">
        <v>63</v>
      </c>
      <c r="M5" s="2">
        <v>34</v>
      </c>
      <c r="N5" s="2">
        <v>20</v>
      </c>
      <c r="O5" s="2">
        <v>52</v>
      </c>
      <c r="P5" s="2">
        <v>6</v>
      </c>
    </row>
    <row r="6" spans="2:16" ht="10.5" customHeight="1">
      <c r="B6" s="5" t="s">
        <v>20</v>
      </c>
      <c r="C6" s="2">
        <v>3228</v>
      </c>
      <c r="D6" s="2">
        <v>337</v>
      </c>
      <c r="E6" s="2">
        <v>1180</v>
      </c>
      <c r="F6" s="2">
        <v>1067</v>
      </c>
      <c r="G6" s="2">
        <v>4818</v>
      </c>
      <c r="H6" s="2">
        <v>1253</v>
      </c>
      <c r="I6" s="2">
        <v>66</v>
      </c>
      <c r="J6" s="2">
        <v>116</v>
      </c>
      <c r="K6" s="2">
        <v>72</v>
      </c>
      <c r="L6" s="2">
        <v>83</v>
      </c>
      <c r="M6" s="2">
        <v>39</v>
      </c>
      <c r="N6" s="2">
        <v>70</v>
      </c>
      <c r="O6" s="2">
        <v>106</v>
      </c>
      <c r="P6" s="2">
        <v>11</v>
      </c>
    </row>
    <row r="7" spans="2:16" ht="10.5" customHeight="1">
      <c r="B7" s="5" t="s">
        <v>21</v>
      </c>
      <c r="C7" s="2">
        <v>10778</v>
      </c>
      <c r="D7" s="2">
        <v>912</v>
      </c>
      <c r="E7" s="2">
        <v>3239</v>
      </c>
      <c r="F7" s="2">
        <v>4365</v>
      </c>
      <c r="G7" s="2">
        <v>17953</v>
      </c>
      <c r="H7" s="2">
        <v>5218</v>
      </c>
      <c r="I7" s="2">
        <v>194</v>
      </c>
      <c r="J7" s="2">
        <v>345</v>
      </c>
      <c r="K7" s="2">
        <v>155</v>
      </c>
      <c r="L7" s="2">
        <v>235</v>
      </c>
      <c r="M7" s="2">
        <v>114</v>
      </c>
      <c r="N7" s="2">
        <v>171</v>
      </c>
      <c r="O7" s="2">
        <v>200</v>
      </c>
      <c r="P7" s="2">
        <v>26</v>
      </c>
    </row>
    <row r="8" spans="2:16" ht="10.5" customHeight="1">
      <c r="B8" s="5" t="s">
        <v>22</v>
      </c>
      <c r="C8" s="2">
        <v>1147</v>
      </c>
      <c r="D8" s="2">
        <v>200</v>
      </c>
      <c r="E8" s="2">
        <v>535</v>
      </c>
      <c r="F8" s="2">
        <v>990</v>
      </c>
      <c r="G8" s="2">
        <v>1769</v>
      </c>
      <c r="H8" s="2">
        <v>803</v>
      </c>
      <c r="I8" s="2">
        <v>44</v>
      </c>
      <c r="J8" s="2">
        <v>100</v>
      </c>
      <c r="K8" s="2">
        <v>54</v>
      </c>
      <c r="L8" s="2">
        <v>73</v>
      </c>
      <c r="M8" s="2">
        <v>40</v>
      </c>
      <c r="N8" s="2">
        <v>11</v>
      </c>
      <c r="O8" s="2">
        <v>25</v>
      </c>
      <c r="P8" s="2">
        <v>1</v>
      </c>
    </row>
    <row r="9" spans="2:16" ht="10.5" customHeight="1">
      <c r="B9" s="5" t="s">
        <v>23</v>
      </c>
      <c r="C9" s="2">
        <v>501</v>
      </c>
      <c r="D9" s="2">
        <v>83</v>
      </c>
      <c r="E9" s="2">
        <v>255</v>
      </c>
      <c r="F9" s="2">
        <v>394</v>
      </c>
      <c r="G9" s="2">
        <v>893</v>
      </c>
      <c r="H9" s="2">
        <v>456</v>
      </c>
      <c r="I9" s="2">
        <v>13</v>
      </c>
      <c r="J9" s="2">
        <v>73</v>
      </c>
      <c r="K9" s="2">
        <v>26</v>
      </c>
      <c r="L9" s="2">
        <v>34</v>
      </c>
      <c r="M9" s="2">
        <v>12</v>
      </c>
      <c r="N9" s="2">
        <v>4</v>
      </c>
      <c r="O9" s="2">
        <v>21</v>
      </c>
      <c r="P9" s="2">
        <v>2</v>
      </c>
    </row>
    <row r="10" spans="2:16" ht="10.5" customHeight="1">
      <c r="B10" s="5" t="s">
        <v>24</v>
      </c>
      <c r="C10" s="2">
        <v>980</v>
      </c>
      <c r="D10" s="2">
        <v>57</v>
      </c>
      <c r="E10" s="2">
        <v>171</v>
      </c>
      <c r="F10" s="2">
        <v>395</v>
      </c>
      <c r="G10" s="2">
        <v>664</v>
      </c>
      <c r="H10" s="2">
        <v>306</v>
      </c>
      <c r="I10" s="2">
        <v>21</v>
      </c>
      <c r="J10" s="2">
        <v>50</v>
      </c>
      <c r="K10" s="2">
        <v>18</v>
      </c>
      <c r="L10" s="2">
        <v>30</v>
      </c>
      <c r="M10" s="2">
        <v>7</v>
      </c>
      <c r="N10" s="2">
        <v>19</v>
      </c>
      <c r="O10" s="2">
        <v>15</v>
      </c>
      <c r="P10" s="2">
        <v>5</v>
      </c>
    </row>
    <row r="11" spans="2:16" ht="10.5" customHeight="1">
      <c r="B11" s="5" t="s">
        <v>25</v>
      </c>
      <c r="C11" s="2">
        <v>1443</v>
      </c>
      <c r="D11" s="2">
        <v>99</v>
      </c>
      <c r="E11" s="2">
        <v>227</v>
      </c>
      <c r="F11" s="2">
        <v>380</v>
      </c>
      <c r="G11" s="2">
        <v>1125</v>
      </c>
      <c r="H11" s="2">
        <v>328</v>
      </c>
      <c r="I11" s="2">
        <v>4</v>
      </c>
      <c r="J11" s="2">
        <v>23</v>
      </c>
      <c r="K11" s="2">
        <v>15</v>
      </c>
      <c r="L11" s="2">
        <v>20</v>
      </c>
      <c r="M11" s="2">
        <v>8</v>
      </c>
      <c r="N11" s="2">
        <v>35</v>
      </c>
      <c r="O11" s="2">
        <v>23</v>
      </c>
      <c r="P11" s="2">
        <v>3</v>
      </c>
    </row>
    <row r="12" spans="2:16" ht="10.5" customHeight="1">
      <c r="B12" s="5" t="s">
        <v>26</v>
      </c>
      <c r="C12" s="2">
        <v>11937</v>
      </c>
      <c r="D12" s="2">
        <v>849</v>
      </c>
      <c r="E12" s="2">
        <v>3149</v>
      </c>
      <c r="F12" s="2">
        <v>4281</v>
      </c>
      <c r="G12" s="2">
        <v>17935</v>
      </c>
      <c r="H12" s="2">
        <v>6767</v>
      </c>
      <c r="I12" s="2">
        <v>170</v>
      </c>
      <c r="J12" s="2">
        <v>463</v>
      </c>
      <c r="K12" s="2">
        <v>63</v>
      </c>
      <c r="L12" s="2">
        <v>97</v>
      </c>
      <c r="M12" s="2">
        <v>52</v>
      </c>
      <c r="N12" s="2">
        <v>114</v>
      </c>
      <c r="O12" s="2">
        <v>166</v>
      </c>
      <c r="P12" s="2">
        <v>15</v>
      </c>
    </row>
    <row r="13" spans="2:16" ht="10.5" customHeight="1">
      <c r="B13" s="5" t="s">
        <v>27</v>
      </c>
      <c r="C13" s="2">
        <v>1514</v>
      </c>
      <c r="D13" s="2">
        <v>183</v>
      </c>
      <c r="E13" s="2">
        <v>545</v>
      </c>
      <c r="F13" s="2">
        <v>528</v>
      </c>
      <c r="G13" s="2">
        <v>2425</v>
      </c>
      <c r="H13" s="2">
        <v>498</v>
      </c>
      <c r="I13" s="2">
        <v>29</v>
      </c>
      <c r="J13" s="2">
        <v>53</v>
      </c>
      <c r="K13" s="2">
        <v>45</v>
      </c>
      <c r="L13" s="2">
        <v>28</v>
      </c>
      <c r="M13" s="2">
        <v>23</v>
      </c>
      <c r="N13" s="2">
        <v>22</v>
      </c>
      <c r="O13" s="2">
        <v>29</v>
      </c>
      <c r="P13" s="2">
        <v>4</v>
      </c>
    </row>
    <row r="14" spans="2:16" ht="10.5" customHeight="1">
      <c r="B14" s="5" t="s">
        <v>28</v>
      </c>
      <c r="C14" s="2">
        <v>25184</v>
      </c>
      <c r="D14" s="2">
        <v>2308</v>
      </c>
      <c r="E14" s="2">
        <v>5949</v>
      </c>
      <c r="F14" s="2">
        <v>5898</v>
      </c>
      <c r="G14" s="2">
        <v>31911</v>
      </c>
      <c r="H14" s="2">
        <v>9868</v>
      </c>
      <c r="I14" s="2">
        <v>379</v>
      </c>
      <c r="J14" s="2">
        <v>606</v>
      </c>
      <c r="K14" s="2">
        <v>295</v>
      </c>
      <c r="L14" s="2">
        <v>391</v>
      </c>
      <c r="M14" s="2">
        <v>166</v>
      </c>
      <c r="N14" s="2">
        <v>208</v>
      </c>
      <c r="O14" s="2">
        <v>313</v>
      </c>
      <c r="P14" s="2">
        <v>55</v>
      </c>
    </row>
    <row r="15" spans="2:16" ht="10.5" customHeight="1">
      <c r="B15" s="5" t="s">
        <v>29</v>
      </c>
      <c r="C15" s="2">
        <v>302</v>
      </c>
      <c r="D15" s="2">
        <v>31</v>
      </c>
      <c r="E15" s="2">
        <v>105</v>
      </c>
      <c r="F15" s="2">
        <v>157</v>
      </c>
      <c r="G15" s="2">
        <v>400</v>
      </c>
      <c r="H15" s="2">
        <v>151</v>
      </c>
      <c r="I15" s="2">
        <v>7</v>
      </c>
      <c r="J15" s="2">
        <v>7</v>
      </c>
      <c r="K15" s="2">
        <v>24</v>
      </c>
      <c r="L15" s="2">
        <v>10</v>
      </c>
      <c r="M15" s="2">
        <v>9</v>
      </c>
      <c r="N15" s="2">
        <v>7</v>
      </c>
      <c r="O15" s="2">
        <v>16</v>
      </c>
      <c r="P15" s="2">
        <v>1</v>
      </c>
    </row>
    <row r="16" spans="1:16" ht="10.5" customHeight="1">
      <c r="A16" s="3" t="s">
        <v>76</v>
      </c>
      <c r="C16" s="2">
        <v>59913</v>
      </c>
      <c r="D16" s="2">
        <v>5381</v>
      </c>
      <c r="E16" s="2">
        <v>16319</v>
      </c>
      <c r="F16" s="2">
        <v>19274</v>
      </c>
      <c r="G16" s="2">
        <v>84021</v>
      </c>
      <c r="H16" s="2">
        <v>26775</v>
      </c>
      <c r="I16" s="2">
        <v>1000</v>
      </c>
      <c r="J16" s="2">
        <v>1938</v>
      </c>
      <c r="K16" s="2">
        <v>815</v>
      </c>
      <c r="L16" s="2">
        <v>1068</v>
      </c>
      <c r="M16" s="2">
        <v>506</v>
      </c>
      <c r="N16" s="2">
        <v>684</v>
      </c>
      <c r="O16" s="2">
        <v>966</v>
      </c>
      <c r="P16" s="2">
        <v>129</v>
      </c>
    </row>
    <row r="17" spans="2:16" s="4" customFormat="1" ht="10.5" customHeight="1">
      <c r="B17" s="6" t="s">
        <v>119</v>
      </c>
      <c r="C17" s="4">
        <f>C16/81613</f>
        <v>0.7341109872201732</v>
      </c>
      <c r="D17" s="4">
        <f>D16/81613</f>
        <v>0.06593312339945842</v>
      </c>
      <c r="E17" s="4">
        <f>E16/81613</f>
        <v>0.19995588938036832</v>
      </c>
      <c r="F17" s="4">
        <f>F16/133008</f>
        <v>0.1449085769277036</v>
      </c>
      <c r="G17" s="4">
        <f>G16/133008</f>
        <v>0.6316988451822447</v>
      </c>
      <c r="H17" s="4">
        <f>H16/133008</f>
        <v>0.2013036809815951</v>
      </c>
      <c r="I17" s="4">
        <f>I16/133008</f>
        <v>0.00751834476121737</v>
      </c>
      <c r="J17" s="4">
        <f>J16/133008</f>
        <v>0.014570552147239263</v>
      </c>
      <c r="K17" s="4">
        <f>K16/2389</f>
        <v>0.3411469233989117</v>
      </c>
      <c r="L17" s="4">
        <f>L16/2389</f>
        <v>0.4470489744663039</v>
      </c>
      <c r="M17" s="4">
        <f>M16/2389</f>
        <v>0.21180410213478443</v>
      </c>
      <c r="N17" s="4">
        <f>N16/684</f>
        <v>1</v>
      </c>
      <c r="O17" s="4">
        <f>O16/966</f>
        <v>1</v>
      </c>
      <c r="P17" s="4">
        <f>P16/129</f>
        <v>1</v>
      </c>
    </row>
    <row r="18" spans="2:16" ht="10.5" customHeight="1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0.5" customHeight="1">
      <c r="A19" s="3" t="s">
        <v>87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0.5" customHeight="1">
      <c r="B20" s="5" t="s">
        <v>30</v>
      </c>
      <c r="C20" s="2">
        <v>13619</v>
      </c>
      <c r="D20" s="2">
        <v>654</v>
      </c>
      <c r="E20" s="2">
        <v>2543</v>
      </c>
      <c r="F20" s="2">
        <v>2241</v>
      </c>
      <c r="G20" s="2">
        <v>6071</v>
      </c>
      <c r="H20" s="2">
        <v>2646</v>
      </c>
      <c r="I20" s="2">
        <v>147</v>
      </c>
      <c r="J20" s="2">
        <v>343</v>
      </c>
      <c r="K20" s="2">
        <v>162</v>
      </c>
      <c r="L20" s="2">
        <v>121</v>
      </c>
      <c r="M20" s="2">
        <v>74</v>
      </c>
      <c r="N20" s="2">
        <v>640</v>
      </c>
      <c r="O20" s="2">
        <v>174</v>
      </c>
      <c r="P20" s="2">
        <v>40</v>
      </c>
    </row>
    <row r="21" spans="2:16" ht="10.5" customHeight="1">
      <c r="B21" s="5" t="s">
        <v>31</v>
      </c>
      <c r="C21" s="2">
        <v>5380</v>
      </c>
      <c r="D21" s="2">
        <v>412</v>
      </c>
      <c r="E21" s="2">
        <v>1301</v>
      </c>
      <c r="F21" s="2">
        <v>1572</v>
      </c>
      <c r="G21" s="2">
        <v>2525</v>
      </c>
      <c r="H21" s="2">
        <v>1332</v>
      </c>
      <c r="I21" s="2">
        <v>111</v>
      </c>
      <c r="J21" s="2">
        <v>167</v>
      </c>
      <c r="K21" s="2">
        <v>95</v>
      </c>
      <c r="L21" s="2">
        <v>106</v>
      </c>
      <c r="M21" s="2">
        <v>56</v>
      </c>
      <c r="N21" s="2">
        <v>125</v>
      </c>
      <c r="O21" s="2">
        <v>68</v>
      </c>
      <c r="P21" s="2">
        <v>20</v>
      </c>
    </row>
    <row r="22" spans="2:16" ht="10.5" customHeight="1">
      <c r="B22" s="5" t="s">
        <v>32</v>
      </c>
      <c r="C22" s="2">
        <v>9906</v>
      </c>
      <c r="D22" s="2">
        <v>480</v>
      </c>
      <c r="E22" s="2">
        <v>1377</v>
      </c>
      <c r="F22" s="2">
        <v>893</v>
      </c>
      <c r="G22" s="2">
        <v>2957</v>
      </c>
      <c r="H22" s="2">
        <v>1698</v>
      </c>
      <c r="I22" s="2">
        <v>88</v>
      </c>
      <c r="J22" s="2">
        <v>191</v>
      </c>
      <c r="K22" s="2">
        <v>69</v>
      </c>
      <c r="L22" s="2">
        <v>86</v>
      </c>
      <c r="M22" s="2">
        <v>57</v>
      </c>
      <c r="N22" s="2">
        <v>416</v>
      </c>
      <c r="O22" s="2">
        <v>109</v>
      </c>
      <c r="P22" s="2">
        <v>35</v>
      </c>
    </row>
    <row r="23" spans="2:16" ht="10.5" customHeight="1">
      <c r="B23" s="5" t="s">
        <v>33</v>
      </c>
      <c r="C23" s="2">
        <v>12250</v>
      </c>
      <c r="D23" s="2">
        <v>630</v>
      </c>
      <c r="E23" s="2">
        <v>2086</v>
      </c>
      <c r="F23" s="2">
        <v>2256</v>
      </c>
      <c r="G23" s="2">
        <v>4946</v>
      </c>
      <c r="H23" s="2">
        <v>3390</v>
      </c>
      <c r="I23" s="2">
        <v>86</v>
      </c>
      <c r="J23" s="2">
        <v>227</v>
      </c>
      <c r="K23" s="2">
        <v>77</v>
      </c>
      <c r="L23" s="2">
        <v>130</v>
      </c>
      <c r="M23" s="2">
        <v>69</v>
      </c>
      <c r="N23" s="2">
        <v>142</v>
      </c>
      <c r="O23" s="2">
        <v>108</v>
      </c>
      <c r="P23" s="2">
        <v>18</v>
      </c>
    </row>
    <row r="24" spans="2:16" ht="10.5" customHeight="1">
      <c r="B24" s="5" t="s">
        <v>34</v>
      </c>
      <c r="C24" s="2">
        <v>15159</v>
      </c>
      <c r="D24" s="2">
        <v>619</v>
      </c>
      <c r="E24" s="2">
        <v>2446</v>
      </c>
      <c r="F24" s="2">
        <v>1812</v>
      </c>
      <c r="G24" s="2">
        <v>4913</v>
      </c>
      <c r="H24" s="2">
        <v>2510</v>
      </c>
      <c r="I24" s="2">
        <v>81</v>
      </c>
      <c r="J24" s="2">
        <v>204</v>
      </c>
      <c r="K24" s="2">
        <v>87</v>
      </c>
      <c r="L24" s="2">
        <v>109</v>
      </c>
      <c r="M24" s="2">
        <v>88</v>
      </c>
      <c r="N24" s="2">
        <v>83</v>
      </c>
      <c r="O24" s="2">
        <v>80</v>
      </c>
      <c r="P24" s="2">
        <v>22</v>
      </c>
    </row>
    <row r="25" spans="2:16" ht="10.5" customHeight="1">
      <c r="B25" s="5" t="s">
        <v>35</v>
      </c>
      <c r="C25" s="2">
        <v>38959</v>
      </c>
      <c r="D25" s="2">
        <v>1401</v>
      </c>
      <c r="E25" s="2">
        <v>4698</v>
      </c>
      <c r="F25" s="2">
        <v>4554</v>
      </c>
      <c r="G25" s="2">
        <v>9352</v>
      </c>
      <c r="H25" s="2">
        <v>7564</v>
      </c>
      <c r="I25" s="2">
        <v>222</v>
      </c>
      <c r="J25" s="2">
        <v>493</v>
      </c>
      <c r="K25" s="2">
        <v>158</v>
      </c>
      <c r="L25" s="2">
        <v>223</v>
      </c>
      <c r="M25" s="2">
        <v>174</v>
      </c>
      <c r="N25" s="2">
        <v>738</v>
      </c>
      <c r="O25" s="2">
        <v>299</v>
      </c>
      <c r="P25" s="2">
        <v>101</v>
      </c>
    </row>
    <row r="26" spans="1:16" ht="10.5" customHeight="1">
      <c r="A26" s="3" t="s">
        <v>76</v>
      </c>
      <c r="C26" s="2">
        <v>95273</v>
      </c>
      <c r="D26" s="2">
        <v>4196</v>
      </c>
      <c r="E26" s="2">
        <v>14451</v>
      </c>
      <c r="F26" s="2">
        <v>13328</v>
      </c>
      <c r="G26" s="2">
        <v>30764</v>
      </c>
      <c r="H26" s="2">
        <v>19140</v>
      </c>
      <c r="I26" s="2">
        <v>735</v>
      </c>
      <c r="J26" s="2">
        <v>1625</v>
      </c>
      <c r="K26" s="2">
        <v>648</v>
      </c>
      <c r="L26" s="2">
        <v>775</v>
      </c>
      <c r="M26" s="2">
        <v>518</v>
      </c>
      <c r="N26" s="2">
        <v>2144</v>
      </c>
      <c r="O26" s="2">
        <v>838</v>
      </c>
      <c r="P26" s="2">
        <v>236</v>
      </c>
    </row>
    <row r="27" spans="2:16" s="4" customFormat="1" ht="10.5" customHeight="1">
      <c r="B27" s="6" t="s">
        <v>119</v>
      </c>
      <c r="C27" s="4">
        <f>C26/113920</f>
        <v>0.8363149578651685</v>
      </c>
      <c r="D27" s="4">
        <f>D26/113920</f>
        <v>0.03683286516853933</v>
      </c>
      <c r="E27" s="4">
        <f>E26/113920</f>
        <v>0.12685217696629214</v>
      </c>
      <c r="F27" s="4">
        <f>F26/65592</f>
        <v>0.20319551164776192</v>
      </c>
      <c r="G27" s="4">
        <f>G26/65592</f>
        <v>0.469020612269789</v>
      </c>
      <c r="H27" s="4">
        <f>H26/65592</f>
        <v>0.2918038785217709</v>
      </c>
      <c r="I27" s="4">
        <f>I26/65592</f>
        <v>0.011205634833516283</v>
      </c>
      <c r="J27" s="4">
        <f>J26/65592</f>
        <v>0.02477436272716185</v>
      </c>
      <c r="K27" s="4">
        <f>K26/1941</f>
        <v>0.33384853168469864</v>
      </c>
      <c r="L27" s="4">
        <f>L26/1941</f>
        <v>0.39927872230808864</v>
      </c>
      <c r="M27" s="4">
        <f>M26/1941</f>
        <v>0.2668727460072128</v>
      </c>
      <c r="N27" s="4">
        <f>N26/2144</f>
        <v>1</v>
      </c>
      <c r="O27" s="4">
        <f>O26/838</f>
        <v>1</v>
      </c>
      <c r="P27" s="4">
        <f>P26/236</f>
        <v>1</v>
      </c>
    </row>
    <row r="28" spans="2:16" ht="10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0.5" customHeight="1">
      <c r="A29" s="3" t="s">
        <v>88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0.5" customHeight="1">
      <c r="B30" s="5" t="s">
        <v>36</v>
      </c>
      <c r="C30" s="2">
        <v>40490</v>
      </c>
      <c r="D30" s="2">
        <v>1232</v>
      </c>
      <c r="E30" s="2">
        <v>3167</v>
      </c>
      <c r="F30" s="2">
        <v>3119</v>
      </c>
      <c r="G30" s="2">
        <v>8917</v>
      </c>
      <c r="H30" s="2">
        <v>6827</v>
      </c>
      <c r="I30" s="2">
        <v>167</v>
      </c>
      <c r="J30" s="2">
        <v>252</v>
      </c>
      <c r="K30" s="2">
        <v>94</v>
      </c>
      <c r="L30" s="2">
        <v>120</v>
      </c>
      <c r="M30" s="2">
        <v>93</v>
      </c>
      <c r="N30" s="2">
        <v>485</v>
      </c>
      <c r="O30" s="2">
        <v>234</v>
      </c>
      <c r="P30" s="2">
        <v>51</v>
      </c>
    </row>
    <row r="31" spans="2:16" ht="10.5" customHeight="1">
      <c r="B31" s="5" t="s">
        <v>37</v>
      </c>
      <c r="C31" s="2">
        <v>56383</v>
      </c>
      <c r="D31" s="2">
        <v>1316</v>
      </c>
      <c r="E31" s="2">
        <v>2563</v>
      </c>
      <c r="F31" s="2">
        <v>1399</v>
      </c>
      <c r="G31" s="2">
        <v>3661</v>
      </c>
      <c r="H31" s="2">
        <v>4473</v>
      </c>
      <c r="I31" s="2">
        <v>107</v>
      </c>
      <c r="J31" s="2">
        <v>228</v>
      </c>
      <c r="K31" s="2">
        <v>90</v>
      </c>
      <c r="L31" s="2">
        <v>132</v>
      </c>
      <c r="M31" s="2">
        <v>117</v>
      </c>
      <c r="N31" s="2">
        <v>1204</v>
      </c>
      <c r="O31" s="2">
        <v>277</v>
      </c>
      <c r="P31" s="2">
        <v>174</v>
      </c>
    </row>
    <row r="32" spans="2:16" ht="10.5" customHeight="1">
      <c r="B32" s="5" t="s">
        <v>35</v>
      </c>
      <c r="C32" s="2">
        <v>20618</v>
      </c>
      <c r="D32" s="2">
        <v>1016</v>
      </c>
      <c r="E32" s="2">
        <v>2982</v>
      </c>
      <c r="F32" s="2">
        <v>2765</v>
      </c>
      <c r="G32" s="2">
        <v>5731</v>
      </c>
      <c r="H32" s="2">
        <v>4090</v>
      </c>
      <c r="I32" s="2">
        <v>154</v>
      </c>
      <c r="J32" s="2">
        <v>288</v>
      </c>
      <c r="K32" s="2">
        <v>115</v>
      </c>
      <c r="L32" s="2">
        <v>141</v>
      </c>
      <c r="M32" s="2">
        <v>90</v>
      </c>
      <c r="N32" s="2">
        <v>356</v>
      </c>
      <c r="O32" s="2">
        <v>163</v>
      </c>
      <c r="P32" s="2">
        <v>55</v>
      </c>
    </row>
    <row r="33" spans="1:16" ht="10.5" customHeight="1">
      <c r="A33" s="3" t="s">
        <v>76</v>
      </c>
      <c r="C33" s="2">
        <v>117491</v>
      </c>
      <c r="D33" s="2">
        <v>3564</v>
      </c>
      <c r="E33" s="2">
        <v>8712</v>
      </c>
      <c r="F33" s="2">
        <v>7283</v>
      </c>
      <c r="G33" s="2">
        <v>18309</v>
      </c>
      <c r="H33" s="2">
        <v>15390</v>
      </c>
      <c r="I33" s="2">
        <v>428</v>
      </c>
      <c r="J33" s="2">
        <v>768</v>
      </c>
      <c r="K33" s="2">
        <v>299</v>
      </c>
      <c r="L33" s="2">
        <v>393</v>
      </c>
      <c r="M33" s="2">
        <v>300</v>
      </c>
      <c r="N33" s="2">
        <v>2045</v>
      </c>
      <c r="O33" s="2">
        <v>674</v>
      </c>
      <c r="P33" s="2">
        <v>280</v>
      </c>
    </row>
    <row r="34" spans="2:16" s="4" customFormat="1" ht="10.5" customHeight="1">
      <c r="B34" s="6" t="s">
        <v>119</v>
      </c>
      <c r="C34" s="4">
        <f>C33/129767</f>
        <v>0.9053996778842078</v>
      </c>
      <c r="D34" s="4">
        <f>D33/129767</f>
        <v>0.0274646096465203</v>
      </c>
      <c r="E34" s="4">
        <f>E33/129767</f>
        <v>0.06713571246927184</v>
      </c>
      <c r="F34" s="4">
        <f>F33/42178</f>
        <v>0.17267295746597752</v>
      </c>
      <c r="G34" s="4">
        <f>G33/42178</f>
        <v>0.43408886149177295</v>
      </c>
      <c r="H34" s="4">
        <f>H33/42178</f>
        <v>0.36488216605813456</v>
      </c>
      <c r="I34" s="4">
        <f>I33/42178</f>
        <v>0.0101474702451515</v>
      </c>
      <c r="J34" s="4">
        <f>J33/42178</f>
        <v>0.01820854473896344</v>
      </c>
      <c r="K34" s="4">
        <f>K33/992</f>
        <v>0.3014112903225806</v>
      </c>
      <c r="L34" s="4">
        <f>L33/992</f>
        <v>0.3961693548387097</v>
      </c>
      <c r="M34" s="4">
        <f>M33/992</f>
        <v>0.3024193548387097</v>
      </c>
      <c r="N34" s="4">
        <f>N33/2045</f>
        <v>1</v>
      </c>
      <c r="O34" s="4">
        <f>O33/674</f>
        <v>1</v>
      </c>
      <c r="P34" s="4">
        <f>P33/280</f>
        <v>1</v>
      </c>
    </row>
    <row r="35" spans="2:16" ht="10.5" customHeight="1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0.5" customHeight="1">
      <c r="A36" s="3" t="s">
        <v>89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0.5" customHeight="1">
      <c r="B37" s="5" t="s">
        <v>38</v>
      </c>
      <c r="C37" s="2">
        <v>13680</v>
      </c>
      <c r="D37" s="2">
        <v>1168</v>
      </c>
      <c r="E37" s="2">
        <v>3538</v>
      </c>
      <c r="F37" s="2">
        <v>4845</v>
      </c>
      <c r="G37" s="2">
        <v>13940</v>
      </c>
      <c r="H37" s="2">
        <v>6365</v>
      </c>
      <c r="I37" s="2">
        <v>228</v>
      </c>
      <c r="J37" s="2">
        <v>636</v>
      </c>
      <c r="K37" s="2">
        <v>208</v>
      </c>
      <c r="L37" s="2">
        <v>217</v>
      </c>
      <c r="M37" s="2">
        <v>106</v>
      </c>
      <c r="N37" s="2">
        <v>256</v>
      </c>
      <c r="O37" s="2">
        <v>192</v>
      </c>
      <c r="P37" s="2">
        <v>48</v>
      </c>
    </row>
    <row r="38" spans="2:16" ht="10.5" customHeight="1">
      <c r="B38" s="5" t="s">
        <v>39</v>
      </c>
      <c r="C38" s="2">
        <v>619</v>
      </c>
      <c r="D38" s="2">
        <v>96</v>
      </c>
      <c r="E38" s="2">
        <v>285</v>
      </c>
      <c r="F38" s="2">
        <v>245</v>
      </c>
      <c r="G38" s="2">
        <v>1375</v>
      </c>
      <c r="H38" s="2">
        <v>434</v>
      </c>
      <c r="I38" s="2">
        <v>11</v>
      </c>
      <c r="J38" s="2">
        <v>45</v>
      </c>
      <c r="K38" s="2">
        <v>9</v>
      </c>
      <c r="L38" s="2">
        <v>10</v>
      </c>
      <c r="M38" s="2">
        <v>3</v>
      </c>
      <c r="N38" s="2">
        <v>6</v>
      </c>
      <c r="O38" s="2">
        <v>7</v>
      </c>
      <c r="P38" s="2">
        <v>1</v>
      </c>
    </row>
    <row r="39" spans="2:16" ht="10.5" customHeight="1">
      <c r="B39" s="5" t="s">
        <v>40</v>
      </c>
      <c r="C39" s="2">
        <v>1825</v>
      </c>
      <c r="D39" s="2">
        <v>144</v>
      </c>
      <c r="E39" s="2">
        <v>483</v>
      </c>
      <c r="F39" s="2">
        <v>548</v>
      </c>
      <c r="G39" s="2">
        <v>1379</v>
      </c>
      <c r="H39" s="2">
        <v>586</v>
      </c>
      <c r="I39" s="2">
        <v>49</v>
      </c>
      <c r="J39" s="2">
        <v>86</v>
      </c>
      <c r="K39" s="2">
        <v>41</v>
      </c>
      <c r="L39" s="2">
        <v>45</v>
      </c>
      <c r="M39" s="2">
        <v>25</v>
      </c>
      <c r="N39" s="2">
        <v>20</v>
      </c>
      <c r="O39" s="2">
        <v>20</v>
      </c>
      <c r="P39" s="2">
        <v>7</v>
      </c>
    </row>
    <row r="40" spans="2:16" ht="10.5" customHeight="1">
      <c r="B40" s="5" t="s">
        <v>41</v>
      </c>
      <c r="C40" s="2">
        <v>1074</v>
      </c>
      <c r="D40" s="2">
        <v>144</v>
      </c>
      <c r="E40" s="2">
        <v>575</v>
      </c>
      <c r="F40" s="2">
        <v>650</v>
      </c>
      <c r="G40" s="2">
        <v>1782</v>
      </c>
      <c r="H40" s="2">
        <v>955</v>
      </c>
      <c r="I40" s="2">
        <v>30</v>
      </c>
      <c r="J40" s="2">
        <v>114</v>
      </c>
      <c r="K40" s="2">
        <v>30</v>
      </c>
      <c r="L40" s="2">
        <v>36</v>
      </c>
      <c r="M40" s="2">
        <v>15</v>
      </c>
      <c r="N40" s="2">
        <v>17</v>
      </c>
      <c r="O40" s="2">
        <v>21</v>
      </c>
      <c r="P40" s="2">
        <v>3</v>
      </c>
    </row>
    <row r="41" spans="2:16" ht="10.5" customHeight="1">
      <c r="B41" s="5" t="s">
        <v>25</v>
      </c>
      <c r="C41" s="2">
        <v>6908</v>
      </c>
      <c r="D41" s="2">
        <v>507</v>
      </c>
      <c r="E41" s="2">
        <v>1315</v>
      </c>
      <c r="F41" s="2">
        <v>1998</v>
      </c>
      <c r="G41" s="2">
        <v>8902</v>
      </c>
      <c r="H41" s="2">
        <v>2411</v>
      </c>
      <c r="I41" s="2">
        <v>89</v>
      </c>
      <c r="J41" s="2">
        <v>165</v>
      </c>
      <c r="K41" s="2">
        <v>79</v>
      </c>
      <c r="L41" s="2">
        <v>83</v>
      </c>
      <c r="M41" s="2">
        <v>47</v>
      </c>
      <c r="N41" s="2">
        <v>203</v>
      </c>
      <c r="O41" s="2">
        <v>107</v>
      </c>
      <c r="P41" s="2">
        <v>16</v>
      </c>
    </row>
    <row r="42" spans="2:16" ht="10.5" customHeight="1">
      <c r="B42" s="5" t="s">
        <v>26</v>
      </c>
      <c r="C42" s="2">
        <v>7969</v>
      </c>
      <c r="D42" s="2">
        <v>563</v>
      </c>
      <c r="E42" s="2">
        <v>2072</v>
      </c>
      <c r="F42" s="2">
        <v>3493</v>
      </c>
      <c r="G42" s="2">
        <v>13662</v>
      </c>
      <c r="H42" s="2">
        <v>4953</v>
      </c>
      <c r="I42" s="2">
        <v>90</v>
      </c>
      <c r="J42" s="2">
        <v>261</v>
      </c>
      <c r="K42" s="2">
        <v>42</v>
      </c>
      <c r="L42" s="2">
        <v>61</v>
      </c>
      <c r="M42" s="2">
        <v>31</v>
      </c>
      <c r="N42" s="2">
        <v>76</v>
      </c>
      <c r="O42" s="2">
        <v>101</v>
      </c>
      <c r="P42" s="2">
        <v>13</v>
      </c>
    </row>
    <row r="43" spans="2:16" ht="10.5" customHeight="1">
      <c r="B43" s="5" t="s">
        <v>42</v>
      </c>
      <c r="C43" s="2">
        <v>8356</v>
      </c>
      <c r="D43" s="2">
        <v>854</v>
      </c>
      <c r="E43" s="2">
        <v>3224</v>
      </c>
      <c r="F43" s="2">
        <v>5357</v>
      </c>
      <c r="G43" s="2">
        <v>12923</v>
      </c>
      <c r="H43" s="2">
        <v>5532</v>
      </c>
      <c r="I43" s="2">
        <v>231</v>
      </c>
      <c r="J43" s="2">
        <v>737</v>
      </c>
      <c r="K43" s="2">
        <v>160</v>
      </c>
      <c r="L43" s="2">
        <v>174</v>
      </c>
      <c r="M43" s="2">
        <v>105</v>
      </c>
      <c r="N43" s="2">
        <v>98</v>
      </c>
      <c r="O43" s="2">
        <v>164</v>
      </c>
      <c r="P43" s="2">
        <v>24</v>
      </c>
    </row>
    <row r="44" spans="2:16" ht="10.5" customHeight="1">
      <c r="B44" s="5" t="s">
        <v>43</v>
      </c>
      <c r="C44" s="2">
        <v>3140</v>
      </c>
      <c r="D44" s="2">
        <v>256</v>
      </c>
      <c r="E44" s="2">
        <v>1075</v>
      </c>
      <c r="F44" s="2">
        <v>1313</v>
      </c>
      <c r="G44" s="2">
        <v>3543</v>
      </c>
      <c r="H44" s="2">
        <v>1255</v>
      </c>
      <c r="I44" s="2">
        <v>71</v>
      </c>
      <c r="J44" s="2">
        <v>220</v>
      </c>
      <c r="K44" s="2">
        <v>62</v>
      </c>
      <c r="L44" s="2">
        <v>71</v>
      </c>
      <c r="M44" s="2">
        <v>45</v>
      </c>
      <c r="N44" s="2">
        <v>38</v>
      </c>
      <c r="O44" s="2">
        <v>66</v>
      </c>
      <c r="P44" s="2">
        <v>7</v>
      </c>
    </row>
    <row r="45" spans="2:16" ht="10.5" customHeight="1">
      <c r="B45" s="5" t="s">
        <v>44</v>
      </c>
      <c r="C45" s="2">
        <v>3108</v>
      </c>
      <c r="D45" s="2">
        <v>359</v>
      </c>
      <c r="E45" s="2">
        <v>1396</v>
      </c>
      <c r="F45" s="2">
        <v>1547</v>
      </c>
      <c r="G45" s="2">
        <v>6303</v>
      </c>
      <c r="H45" s="2">
        <v>1881</v>
      </c>
      <c r="I45" s="2">
        <v>68</v>
      </c>
      <c r="J45" s="2">
        <v>245</v>
      </c>
      <c r="K45" s="2">
        <v>62</v>
      </c>
      <c r="L45" s="2">
        <v>73</v>
      </c>
      <c r="M45" s="2">
        <v>43</v>
      </c>
      <c r="N45" s="2">
        <v>19</v>
      </c>
      <c r="O45" s="2">
        <v>49</v>
      </c>
      <c r="P45" s="2">
        <v>11</v>
      </c>
    </row>
    <row r="46" spans="2:16" ht="10.5" customHeight="1">
      <c r="B46" s="5" t="s">
        <v>45</v>
      </c>
      <c r="C46" s="2">
        <v>2774</v>
      </c>
      <c r="D46" s="2">
        <v>360</v>
      </c>
      <c r="E46" s="2">
        <v>1455</v>
      </c>
      <c r="F46" s="2">
        <v>1709</v>
      </c>
      <c r="G46" s="2">
        <v>3928</v>
      </c>
      <c r="H46" s="2">
        <v>1851</v>
      </c>
      <c r="I46" s="2">
        <v>85</v>
      </c>
      <c r="J46" s="2">
        <v>298</v>
      </c>
      <c r="K46" s="2">
        <v>116</v>
      </c>
      <c r="L46" s="2">
        <v>125</v>
      </c>
      <c r="M46" s="2">
        <v>79</v>
      </c>
      <c r="N46" s="2">
        <v>24</v>
      </c>
      <c r="O46" s="2">
        <v>72</v>
      </c>
      <c r="P46" s="2">
        <v>10</v>
      </c>
    </row>
    <row r="47" spans="2:16" ht="10.5" customHeight="1">
      <c r="B47" s="5" t="s">
        <v>46</v>
      </c>
      <c r="C47" s="2">
        <v>1130</v>
      </c>
      <c r="D47" s="2">
        <v>95</v>
      </c>
      <c r="E47" s="2">
        <v>382</v>
      </c>
      <c r="F47" s="2">
        <v>352</v>
      </c>
      <c r="G47" s="2">
        <v>806</v>
      </c>
      <c r="H47" s="2">
        <v>519</v>
      </c>
      <c r="I47" s="2">
        <v>32</v>
      </c>
      <c r="J47" s="2">
        <v>61</v>
      </c>
      <c r="K47" s="2">
        <v>25</v>
      </c>
      <c r="L47" s="2">
        <v>38</v>
      </c>
      <c r="M47" s="2">
        <v>21</v>
      </c>
      <c r="N47" s="2">
        <v>38</v>
      </c>
      <c r="O47" s="2">
        <v>32</v>
      </c>
      <c r="P47" s="2">
        <v>4</v>
      </c>
    </row>
    <row r="48" spans="2:16" ht="10.5" customHeight="1">
      <c r="B48" s="5" t="s">
        <v>47</v>
      </c>
      <c r="C48" s="2">
        <v>2044</v>
      </c>
      <c r="D48" s="2">
        <v>405</v>
      </c>
      <c r="E48" s="2">
        <v>864</v>
      </c>
      <c r="F48" s="2">
        <v>865</v>
      </c>
      <c r="G48" s="2">
        <v>3488</v>
      </c>
      <c r="H48" s="2">
        <v>945</v>
      </c>
      <c r="I48" s="2">
        <v>49</v>
      </c>
      <c r="J48" s="2">
        <v>105</v>
      </c>
      <c r="K48" s="2">
        <v>93</v>
      </c>
      <c r="L48" s="2">
        <v>87</v>
      </c>
      <c r="M48" s="2">
        <v>24</v>
      </c>
      <c r="N48" s="2">
        <v>27</v>
      </c>
      <c r="O48" s="2">
        <v>46</v>
      </c>
      <c r="P48" s="2">
        <v>6</v>
      </c>
    </row>
    <row r="49" spans="1:16" ht="10.5" customHeight="1">
      <c r="A49" s="3" t="s">
        <v>76</v>
      </c>
      <c r="C49" s="2">
        <v>52627</v>
      </c>
      <c r="D49" s="2">
        <v>4951</v>
      </c>
      <c r="E49" s="2">
        <v>16664</v>
      </c>
      <c r="F49" s="2">
        <v>22922</v>
      </c>
      <c r="G49" s="2">
        <v>72031</v>
      </c>
      <c r="H49" s="2">
        <v>27687</v>
      </c>
      <c r="I49" s="2">
        <v>1033</v>
      </c>
      <c r="J49" s="2">
        <v>2973</v>
      </c>
      <c r="K49" s="2">
        <v>927</v>
      </c>
      <c r="L49" s="2">
        <v>1020</v>
      </c>
      <c r="M49" s="2">
        <v>544</v>
      </c>
      <c r="N49" s="2">
        <v>822</v>
      </c>
      <c r="O49" s="2">
        <v>877</v>
      </c>
      <c r="P49" s="2">
        <v>150</v>
      </c>
    </row>
    <row r="50" spans="2:16" s="4" customFormat="1" ht="10.5" customHeight="1">
      <c r="B50" s="6" t="s">
        <v>119</v>
      </c>
      <c r="C50" s="4">
        <f>C49/74242</f>
        <v>0.7088575200021551</v>
      </c>
      <c r="D50" s="4">
        <f>D49/74242</f>
        <v>0.06668731984590932</v>
      </c>
      <c r="E50" s="4">
        <f>E49/74242</f>
        <v>0.22445516015193556</v>
      </c>
      <c r="F50" s="4">
        <f>F49/126646</f>
        <v>0.1809926882807195</v>
      </c>
      <c r="G50" s="4">
        <f>G49/126646</f>
        <v>0.5687585869273408</v>
      </c>
      <c r="H50" s="4">
        <f>H49/126646</f>
        <v>0.2186172480773179</v>
      </c>
      <c r="I50" s="4">
        <f>I49/126646</f>
        <v>0.008156593970595202</v>
      </c>
      <c r="J50" s="4">
        <f>J49/126646</f>
        <v>0.023474882744026655</v>
      </c>
      <c r="K50" s="4">
        <f>K49/2491</f>
        <v>0.37213970293055</v>
      </c>
      <c r="L50" s="4">
        <f>L49/2491</f>
        <v>0.4094741067844239</v>
      </c>
      <c r="M50" s="4">
        <f>M49/2491</f>
        <v>0.2183861902850261</v>
      </c>
      <c r="N50" s="4">
        <f>N49/822</f>
        <v>1</v>
      </c>
      <c r="O50" s="4">
        <f>O49/877</f>
        <v>1</v>
      </c>
      <c r="P50" s="4">
        <f>P49/150</f>
        <v>1</v>
      </c>
    </row>
    <row r="51" spans="2:16" ht="10.5" customHeight="1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0.5" customHeight="1">
      <c r="A52" s="3" t="s">
        <v>90</v>
      </c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0.5" customHeight="1">
      <c r="B53" s="5" t="s">
        <v>28</v>
      </c>
      <c r="C53" s="2">
        <v>3893</v>
      </c>
      <c r="D53" s="2">
        <v>258</v>
      </c>
      <c r="E53" s="2">
        <v>631</v>
      </c>
      <c r="F53" s="2">
        <v>477</v>
      </c>
      <c r="G53" s="2">
        <v>2517</v>
      </c>
      <c r="H53" s="2">
        <v>856</v>
      </c>
      <c r="I53" s="2">
        <v>24</v>
      </c>
      <c r="J53" s="2">
        <v>76</v>
      </c>
      <c r="K53" s="2">
        <v>30</v>
      </c>
      <c r="L53" s="2">
        <v>35</v>
      </c>
      <c r="M53" s="2">
        <v>18</v>
      </c>
      <c r="N53" s="2">
        <v>19</v>
      </c>
      <c r="O53" s="2">
        <v>18</v>
      </c>
      <c r="P53" s="2">
        <v>6</v>
      </c>
    </row>
    <row r="54" spans="2:16" ht="10.5" customHeight="1">
      <c r="B54" s="5" t="s">
        <v>48</v>
      </c>
      <c r="C54" s="2">
        <v>19988</v>
      </c>
      <c r="D54" s="2">
        <v>1471</v>
      </c>
      <c r="E54" s="2">
        <v>5070</v>
      </c>
      <c r="F54" s="2">
        <v>3967</v>
      </c>
      <c r="G54" s="2">
        <v>13671</v>
      </c>
      <c r="H54" s="2">
        <v>4472</v>
      </c>
      <c r="I54" s="2">
        <v>237</v>
      </c>
      <c r="J54" s="2">
        <v>723</v>
      </c>
      <c r="K54" s="2">
        <v>206</v>
      </c>
      <c r="L54" s="2">
        <v>218</v>
      </c>
      <c r="M54" s="2">
        <v>148</v>
      </c>
      <c r="N54" s="2">
        <v>87</v>
      </c>
      <c r="O54" s="2">
        <v>123</v>
      </c>
      <c r="P54" s="2">
        <v>41</v>
      </c>
    </row>
    <row r="55" spans="2:16" ht="10.5" customHeight="1">
      <c r="B55" s="5" t="s">
        <v>34</v>
      </c>
      <c r="C55" s="2">
        <v>12487</v>
      </c>
      <c r="D55" s="2">
        <v>762</v>
      </c>
      <c r="E55" s="2">
        <v>3507</v>
      </c>
      <c r="F55" s="2">
        <v>2892</v>
      </c>
      <c r="G55" s="2">
        <v>9149</v>
      </c>
      <c r="H55" s="2">
        <v>2704</v>
      </c>
      <c r="I55" s="2">
        <v>107</v>
      </c>
      <c r="J55" s="2">
        <v>285</v>
      </c>
      <c r="K55" s="2">
        <v>108</v>
      </c>
      <c r="L55" s="2">
        <v>148</v>
      </c>
      <c r="M55" s="2">
        <v>101</v>
      </c>
      <c r="N55" s="2">
        <v>55</v>
      </c>
      <c r="O55" s="2">
        <v>126</v>
      </c>
      <c r="P55" s="2">
        <v>13</v>
      </c>
    </row>
    <row r="56" spans="2:16" ht="10.5" customHeight="1">
      <c r="B56" s="5" t="s">
        <v>49</v>
      </c>
      <c r="C56" s="2">
        <v>14933</v>
      </c>
      <c r="D56" s="2">
        <v>649</v>
      </c>
      <c r="E56" s="2">
        <v>2361</v>
      </c>
      <c r="F56" s="2">
        <v>1378</v>
      </c>
      <c r="G56" s="2">
        <v>7110</v>
      </c>
      <c r="H56" s="2">
        <v>2882</v>
      </c>
      <c r="I56" s="2">
        <v>89</v>
      </c>
      <c r="J56" s="2">
        <v>262</v>
      </c>
      <c r="K56" s="2">
        <v>77</v>
      </c>
      <c r="L56" s="2">
        <v>98</v>
      </c>
      <c r="M56" s="2">
        <v>55</v>
      </c>
      <c r="N56" s="2">
        <v>221</v>
      </c>
      <c r="O56" s="2">
        <v>111</v>
      </c>
      <c r="P56" s="2">
        <v>28</v>
      </c>
    </row>
    <row r="57" spans="1:16" ht="10.5" customHeight="1">
      <c r="A57" s="3" t="s">
        <v>76</v>
      </c>
      <c r="C57" s="2">
        <v>51301</v>
      </c>
      <c r="D57" s="2">
        <v>3140</v>
      </c>
      <c r="E57" s="2">
        <v>11569</v>
      </c>
      <c r="F57" s="2">
        <v>8714</v>
      </c>
      <c r="G57" s="2">
        <v>32447</v>
      </c>
      <c r="H57" s="2">
        <v>10914</v>
      </c>
      <c r="I57" s="2">
        <v>457</v>
      </c>
      <c r="J57" s="2">
        <v>1346</v>
      </c>
      <c r="K57" s="2">
        <v>421</v>
      </c>
      <c r="L57" s="2">
        <v>499</v>
      </c>
      <c r="M57" s="2">
        <v>322</v>
      </c>
      <c r="N57" s="2">
        <v>382</v>
      </c>
      <c r="O57" s="2">
        <v>378</v>
      </c>
      <c r="P57" s="2">
        <v>88</v>
      </c>
    </row>
    <row r="58" spans="2:16" s="4" customFormat="1" ht="10.5" customHeight="1">
      <c r="B58" s="6" t="s">
        <v>119</v>
      </c>
      <c r="C58" s="4">
        <f>C57/66010</f>
        <v>0.7771701257385245</v>
      </c>
      <c r="D58" s="4">
        <f>D57/66010</f>
        <v>0.047568550219663684</v>
      </c>
      <c r="E58" s="4">
        <f>E57/66010</f>
        <v>0.17526132404181186</v>
      </c>
      <c r="F58" s="4">
        <f>F57/53878</f>
        <v>0.16173577341400944</v>
      </c>
      <c r="G58" s="4">
        <f>G57/53878</f>
        <v>0.6022309662570994</v>
      </c>
      <c r="H58" s="4">
        <f>H57/53878</f>
        <v>0.2025687664724006</v>
      </c>
      <c r="I58" s="4">
        <f>I57/53878</f>
        <v>0.008482126285311259</v>
      </c>
      <c r="J58" s="4">
        <f>J57/53878</f>
        <v>0.02498236757117933</v>
      </c>
      <c r="K58" s="4">
        <f>K57/1242</f>
        <v>0.3389694041867955</v>
      </c>
      <c r="L58" s="4">
        <f>L57/1242</f>
        <v>0.40177133655394526</v>
      </c>
      <c r="M58" s="4">
        <f>M57/1242</f>
        <v>0.25925925925925924</v>
      </c>
      <c r="N58" s="4">
        <f>N57/382</f>
        <v>1</v>
      </c>
      <c r="O58" s="4">
        <f>O57/378</f>
        <v>1</v>
      </c>
      <c r="P58" s="4">
        <f>P57/88</f>
        <v>1</v>
      </c>
    </row>
    <row r="59" spans="2:16" ht="10.5" customHeight="1"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0.5" customHeight="1">
      <c r="A60" s="3" t="s">
        <v>91</v>
      </c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0.5" customHeight="1">
      <c r="B61" s="5" t="s">
        <v>28</v>
      </c>
      <c r="C61" s="2">
        <v>58587</v>
      </c>
      <c r="D61" s="2">
        <v>4467</v>
      </c>
      <c r="E61" s="2">
        <v>10737</v>
      </c>
      <c r="F61" s="2">
        <v>6460</v>
      </c>
      <c r="G61" s="2">
        <v>29753</v>
      </c>
      <c r="H61" s="2">
        <v>11035</v>
      </c>
      <c r="I61" s="2">
        <v>481</v>
      </c>
      <c r="J61" s="2">
        <v>865</v>
      </c>
      <c r="K61" s="2">
        <v>448</v>
      </c>
      <c r="L61" s="2">
        <v>611</v>
      </c>
      <c r="M61" s="2">
        <v>295</v>
      </c>
      <c r="N61" s="2">
        <v>674</v>
      </c>
      <c r="O61" s="2">
        <v>465</v>
      </c>
      <c r="P61" s="2">
        <v>219</v>
      </c>
    </row>
    <row r="62" spans="1:16" ht="10.5" customHeight="1">
      <c r="A62" s="3" t="s">
        <v>76</v>
      </c>
      <c r="C62" s="2">
        <v>58587</v>
      </c>
      <c r="D62" s="2">
        <v>4467</v>
      </c>
      <c r="E62" s="2">
        <v>10737</v>
      </c>
      <c r="F62" s="2">
        <v>6460</v>
      </c>
      <c r="G62" s="2">
        <v>29753</v>
      </c>
      <c r="H62" s="2">
        <v>11035</v>
      </c>
      <c r="I62" s="2">
        <v>481</v>
      </c>
      <c r="J62" s="2">
        <v>865</v>
      </c>
      <c r="K62" s="2">
        <v>448</v>
      </c>
      <c r="L62" s="2">
        <v>611</v>
      </c>
      <c r="M62" s="2">
        <v>295</v>
      </c>
      <c r="N62" s="2">
        <v>674</v>
      </c>
      <c r="O62" s="2">
        <v>465</v>
      </c>
      <c r="P62" s="2">
        <v>219</v>
      </c>
    </row>
    <row r="63" spans="2:16" s="4" customFormat="1" ht="10.5" customHeight="1">
      <c r="B63" s="6" t="s">
        <v>119</v>
      </c>
      <c r="C63" s="4">
        <f>C62/73791</f>
        <v>0.7939586128389641</v>
      </c>
      <c r="D63" s="4">
        <f>D62/73791</f>
        <v>0.06053583770378501</v>
      </c>
      <c r="E63" s="4">
        <f>E62/73791</f>
        <v>0.1455055494572509</v>
      </c>
      <c r="F63" s="4">
        <f>F62/48594</f>
        <v>0.13293822282586326</v>
      </c>
      <c r="G63" s="4">
        <f>G62/48594</f>
        <v>0.6122772358727415</v>
      </c>
      <c r="H63" s="4">
        <f>H62/48594</f>
        <v>0.22708564843396303</v>
      </c>
      <c r="I63" s="4">
        <f>I62/48594</f>
        <v>0.009898341359015517</v>
      </c>
      <c r="J63" s="4">
        <f>J62/48594</f>
        <v>0.017800551508416678</v>
      </c>
      <c r="K63" s="4">
        <f>K62/1354</f>
        <v>0.3308714918759232</v>
      </c>
      <c r="L63" s="4">
        <f>L62/1354</f>
        <v>0.45125553914327915</v>
      </c>
      <c r="M63" s="4">
        <f>M62/1354</f>
        <v>0.21787296898079764</v>
      </c>
      <c r="N63" s="4">
        <f>N62/674</f>
        <v>1</v>
      </c>
      <c r="O63" s="4">
        <f>O62/465</f>
        <v>1</v>
      </c>
      <c r="P63" s="4">
        <f>P62/219</f>
        <v>1</v>
      </c>
    </row>
    <row r="64" spans="2:16" ht="10.5" customHeight="1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0.5" customHeight="1">
      <c r="A65" s="3" t="s">
        <v>92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0.5" customHeight="1">
      <c r="B66" s="5" t="s">
        <v>50</v>
      </c>
      <c r="C66" s="2">
        <v>81723</v>
      </c>
      <c r="D66" s="2">
        <v>3449</v>
      </c>
      <c r="E66" s="2">
        <v>11491</v>
      </c>
      <c r="F66" s="2">
        <v>12704</v>
      </c>
      <c r="G66" s="2">
        <v>32198</v>
      </c>
      <c r="H66" s="2">
        <v>24417</v>
      </c>
      <c r="I66" s="2">
        <v>615</v>
      </c>
      <c r="J66" s="2">
        <v>1059</v>
      </c>
      <c r="K66" s="2">
        <v>495</v>
      </c>
      <c r="L66" s="2">
        <v>585</v>
      </c>
      <c r="M66" s="2">
        <v>438</v>
      </c>
      <c r="N66" s="2">
        <v>704</v>
      </c>
      <c r="O66" s="2">
        <v>563</v>
      </c>
      <c r="P66" s="2">
        <v>114</v>
      </c>
    </row>
    <row r="67" spans="1:16" ht="10.5" customHeight="1">
      <c r="A67" s="3" t="s">
        <v>76</v>
      </c>
      <c r="C67" s="2">
        <v>81723</v>
      </c>
      <c r="D67" s="2">
        <v>3449</v>
      </c>
      <c r="E67" s="2">
        <v>11491</v>
      </c>
      <c r="F67" s="2">
        <v>12704</v>
      </c>
      <c r="G67" s="2">
        <v>32198</v>
      </c>
      <c r="H67" s="2">
        <v>24417</v>
      </c>
      <c r="I67" s="2">
        <v>615</v>
      </c>
      <c r="J67" s="2">
        <v>1059</v>
      </c>
      <c r="K67" s="2">
        <v>495</v>
      </c>
      <c r="L67" s="2">
        <v>585</v>
      </c>
      <c r="M67" s="2">
        <v>438</v>
      </c>
      <c r="N67" s="2">
        <v>704</v>
      </c>
      <c r="O67" s="2">
        <v>563</v>
      </c>
      <c r="P67" s="2">
        <v>114</v>
      </c>
    </row>
    <row r="68" spans="2:16" s="4" customFormat="1" ht="10.5" customHeight="1">
      <c r="B68" s="6" t="s">
        <v>119</v>
      </c>
      <c r="C68" s="4">
        <f>C67/96663</f>
        <v>0.8454424133329195</v>
      </c>
      <c r="D68" s="4">
        <f>D67/96663</f>
        <v>0.03568066374931463</v>
      </c>
      <c r="E68" s="4">
        <f>E67/96663</f>
        <v>0.11887692291776585</v>
      </c>
      <c r="F68" s="4">
        <f>F67/70993</f>
        <v>0.17894722014846534</v>
      </c>
      <c r="G68" s="4">
        <f>G67/70993</f>
        <v>0.45353767272829715</v>
      </c>
      <c r="H68" s="4">
        <f>H67/70993</f>
        <v>0.3439353175665206</v>
      </c>
      <c r="I68" s="4">
        <f>I67/70993</f>
        <v>0.0086628259124139</v>
      </c>
      <c r="J68" s="4">
        <f>J67/70993</f>
        <v>0.01491696364430296</v>
      </c>
      <c r="K68" s="4">
        <f>K67/1518</f>
        <v>0.32608695652173914</v>
      </c>
      <c r="L68" s="4">
        <f>L67/1518</f>
        <v>0.38537549407114624</v>
      </c>
      <c r="M68" s="4">
        <f>M67/1518</f>
        <v>0.2885375494071146</v>
      </c>
      <c r="N68" s="4">
        <f>N67/704</f>
        <v>1</v>
      </c>
      <c r="O68" s="4">
        <f>O67/563</f>
        <v>1</v>
      </c>
      <c r="P68" s="4">
        <f>P67/114</f>
        <v>1</v>
      </c>
    </row>
    <row r="69" spans="2:16" ht="10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0.5" customHeight="1">
      <c r="A70" s="3" t="s">
        <v>93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0.5" customHeight="1">
      <c r="B71" s="5" t="s">
        <v>37</v>
      </c>
      <c r="C71" s="2">
        <v>38660</v>
      </c>
      <c r="D71" s="2">
        <v>1428</v>
      </c>
      <c r="E71" s="2">
        <v>2700</v>
      </c>
      <c r="F71" s="2">
        <v>1671</v>
      </c>
      <c r="G71" s="2">
        <v>4124</v>
      </c>
      <c r="H71" s="2">
        <v>4515</v>
      </c>
      <c r="I71" s="2">
        <v>113</v>
      </c>
      <c r="J71" s="2">
        <v>274</v>
      </c>
      <c r="K71" s="2">
        <v>93</v>
      </c>
      <c r="L71" s="2">
        <v>117</v>
      </c>
      <c r="M71" s="2">
        <v>93</v>
      </c>
      <c r="N71" s="2">
        <v>627</v>
      </c>
      <c r="O71" s="2">
        <v>168</v>
      </c>
      <c r="P71" s="2">
        <v>89</v>
      </c>
    </row>
    <row r="72" spans="2:16" ht="10.5" customHeight="1">
      <c r="B72" s="5" t="s">
        <v>51</v>
      </c>
      <c r="C72" s="2">
        <v>41463</v>
      </c>
      <c r="D72" s="2">
        <v>1338</v>
      </c>
      <c r="E72" s="2">
        <v>4487</v>
      </c>
      <c r="F72" s="2">
        <v>3683</v>
      </c>
      <c r="G72" s="2">
        <v>9659</v>
      </c>
      <c r="H72" s="2">
        <v>9438</v>
      </c>
      <c r="I72" s="2">
        <v>135</v>
      </c>
      <c r="J72" s="2">
        <v>343</v>
      </c>
      <c r="K72" s="2">
        <v>154</v>
      </c>
      <c r="L72" s="2">
        <v>216</v>
      </c>
      <c r="M72" s="2">
        <v>176</v>
      </c>
      <c r="N72" s="2">
        <v>389</v>
      </c>
      <c r="O72" s="2">
        <v>244</v>
      </c>
      <c r="P72" s="2">
        <v>49</v>
      </c>
    </row>
    <row r="73" spans="1:16" ht="10.5" customHeight="1">
      <c r="A73" s="3" t="s">
        <v>76</v>
      </c>
      <c r="C73" s="2">
        <v>80123</v>
      </c>
      <c r="D73" s="2">
        <v>2766</v>
      </c>
      <c r="E73" s="2">
        <v>7187</v>
      </c>
      <c r="F73" s="2">
        <v>5354</v>
      </c>
      <c r="G73" s="2">
        <v>13783</v>
      </c>
      <c r="H73" s="2">
        <v>13953</v>
      </c>
      <c r="I73" s="2">
        <v>248</v>
      </c>
      <c r="J73" s="2">
        <v>617</v>
      </c>
      <c r="K73" s="2">
        <v>247</v>
      </c>
      <c r="L73" s="2">
        <v>333</v>
      </c>
      <c r="M73" s="2">
        <v>269</v>
      </c>
      <c r="N73" s="2">
        <v>1016</v>
      </c>
      <c r="O73" s="2">
        <v>412</v>
      </c>
      <c r="P73" s="2">
        <v>138</v>
      </c>
    </row>
    <row r="74" spans="2:16" s="4" customFormat="1" ht="10.5" customHeight="1">
      <c r="B74" s="6" t="s">
        <v>119</v>
      </c>
      <c r="C74" s="4">
        <f>C73/90076</f>
        <v>0.889504418491052</v>
      </c>
      <c r="D74" s="4">
        <f>D73/90076</f>
        <v>0.03070740263777255</v>
      </c>
      <c r="E74" s="4">
        <f>E73/90076</f>
        <v>0.07978817887117545</v>
      </c>
      <c r="F74" s="4">
        <f>F73/33955</f>
        <v>0.1576792814018554</v>
      </c>
      <c r="G74" s="4">
        <f>G73/33955</f>
        <v>0.4059195994698866</v>
      </c>
      <c r="H74" s="4">
        <f>H73/33955</f>
        <v>0.4109262258872037</v>
      </c>
      <c r="I74" s="4">
        <f>I73/33955</f>
        <v>0.007303784420556619</v>
      </c>
      <c r="J74" s="4">
        <f>J73/33955</f>
        <v>0.018171108820497717</v>
      </c>
      <c r="K74" s="4">
        <f>K73/849</f>
        <v>0.29093050647820967</v>
      </c>
      <c r="L74" s="4">
        <f>L73/849</f>
        <v>0.392226148409894</v>
      </c>
      <c r="M74" s="4">
        <f>M73/849</f>
        <v>0.3168433451118963</v>
      </c>
      <c r="N74" s="4">
        <f>N73/1016</f>
        <v>1</v>
      </c>
      <c r="O74" s="4">
        <f>O73/412</f>
        <v>1</v>
      </c>
      <c r="P74" s="4">
        <f>P73/138</f>
        <v>1</v>
      </c>
    </row>
    <row r="75" spans="2:16" ht="10.5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0.5" customHeight="1">
      <c r="A76" s="3" t="s">
        <v>94</v>
      </c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0.5" customHeight="1">
      <c r="B77" s="5" t="s">
        <v>52</v>
      </c>
      <c r="C77" s="2">
        <v>96560</v>
      </c>
      <c r="D77" s="2">
        <v>2157</v>
      </c>
      <c r="E77" s="2">
        <v>5367</v>
      </c>
      <c r="F77" s="2">
        <v>5007</v>
      </c>
      <c r="G77" s="2">
        <v>10801</v>
      </c>
      <c r="H77" s="2">
        <v>9541</v>
      </c>
      <c r="I77" s="2">
        <v>297</v>
      </c>
      <c r="J77" s="2">
        <v>429</v>
      </c>
      <c r="K77" s="2">
        <v>186</v>
      </c>
      <c r="L77" s="2">
        <v>233</v>
      </c>
      <c r="M77" s="2">
        <v>189</v>
      </c>
      <c r="N77" s="2">
        <v>2083</v>
      </c>
      <c r="O77" s="2">
        <v>393</v>
      </c>
      <c r="P77" s="2">
        <v>264</v>
      </c>
    </row>
    <row r="78" spans="2:16" ht="10.5" customHeight="1">
      <c r="B78" s="5" t="s">
        <v>50</v>
      </c>
      <c r="C78" s="2">
        <v>7088</v>
      </c>
      <c r="D78" s="2">
        <v>216</v>
      </c>
      <c r="E78" s="2">
        <v>545</v>
      </c>
      <c r="F78" s="2">
        <v>172</v>
      </c>
      <c r="G78" s="2">
        <v>367</v>
      </c>
      <c r="H78" s="2">
        <v>403</v>
      </c>
      <c r="I78" s="2">
        <v>14</v>
      </c>
      <c r="J78" s="2">
        <v>38</v>
      </c>
      <c r="K78" s="2">
        <v>21</v>
      </c>
      <c r="L78" s="2">
        <v>20</v>
      </c>
      <c r="M78" s="2">
        <v>26</v>
      </c>
      <c r="N78" s="2">
        <v>84</v>
      </c>
      <c r="O78" s="2">
        <v>23</v>
      </c>
      <c r="P78" s="2">
        <v>23</v>
      </c>
    </row>
    <row r="79" spans="1:16" ht="10.5" customHeight="1">
      <c r="A79" s="3" t="s">
        <v>76</v>
      </c>
      <c r="C79" s="2">
        <v>103648</v>
      </c>
      <c r="D79" s="2">
        <v>2373</v>
      </c>
      <c r="E79" s="2">
        <v>5912</v>
      </c>
      <c r="F79" s="2">
        <v>5179</v>
      </c>
      <c r="G79" s="2">
        <v>11168</v>
      </c>
      <c r="H79" s="2">
        <v>9944</v>
      </c>
      <c r="I79" s="2">
        <v>311</v>
      </c>
      <c r="J79" s="2">
        <v>467</v>
      </c>
      <c r="K79" s="2">
        <v>207</v>
      </c>
      <c r="L79" s="2">
        <v>253</v>
      </c>
      <c r="M79" s="2">
        <v>215</v>
      </c>
      <c r="N79" s="2">
        <v>2167</v>
      </c>
      <c r="O79" s="2">
        <v>416</v>
      </c>
      <c r="P79" s="2">
        <v>287</v>
      </c>
    </row>
    <row r="80" spans="2:16" s="4" customFormat="1" ht="10.5" customHeight="1">
      <c r="B80" s="6" t="s">
        <v>119</v>
      </c>
      <c r="C80" s="4">
        <f>C79/111933</f>
        <v>0.9259825073928153</v>
      </c>
      <c r="D80" s="4">
        <f>D79/111933</f>
        <v>0.02120018225188282</v>
      </c>
      <c r="E80" s="4">
        <f>E79/111933</f>
        <v>0.05281731035530183</v>
      </c>
      <c r="F80" s="4">
        <f>F79/27069</f>
        <v>0.19132587092245742</v>
      </c>
      <c r="G80" s="4">
        <f>G79/27069</f>
        <v>0.4125752706047508</v>
      </c>
      <c r="H80" s="4">
        <f>H79/27069</f>
        <v>0.3673574938121098</v>
      </c>
      <c r="I80" s="4">
        <f>I79/27069</f>
        <v>0.011489157338653072</v>
      </c>
      <c r="J80" s="4">
        <f>J79/27069</f>
        <v>0.017252207322028888</v>
      </c>
      <c r="K80" s="4">
        <f>K79/675</f>
        <v>0.30666666666666664</v>
      </c>
      <c r="L80" s="4">
        <f>L79/675</f>
        <v>0.3748148148148148</v>
      </c>
      <c r="M80" s="4">
        <f>M79/675</f>
        <v>0.31851851851851853</v>
      </c>
      <c r="N80" s="4">
        <f>N79/2167</f>
        <v>1</v>
      </c>
      <c r="O80" s="4">
        <f>O79/416</f>
        <v>1</v>
      </c>
      <c r="P80" s="4">
        <f>P79/287</f>
        <v>1</v>
      </c>
    </row>
    <row r="81" spans="2:16" ht="10.5" customHeight="1"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0.5" customHeight="1">
      <c r="A82" s="3" t="s">
        <v>95</v>
      </c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0.5" customHeight="1">
      <c r="B83" s="5" t="s">
        <v>52</v>
      </c>
      <c r="C83" s="2">
        <v>52081</v>
      </c>
      <c r="D83" s="2">
        <v>2212</v>
      </c>
      <c r="E83" s="2">
        <v>7272</v>
      </c>
      <c r="F83" s="2">
        <v>6114</v>
      </c>
      <c r="G83" s="2">
        <v>12358</v>
      </c>
      <c r="H83" s="2">
        <v>10205</v>
      </c>
      <c r="I83" s="2">
        <v>301</v>
      </c>
      <c r="J83" s="2">
        <v>633</v>
      </c>
      <c r="K83" s="2">
        <v>276</v>
      </c>
      <c r="L83" s="2">
        <v>250</v>
      </c>
      <c r="M83" s="2">
        <v>202</v>
      </c>
      <c r="N83" s="2">
        <v>385</v>
      </c>
      <c r="O83" s="2">
        <v>294</v>
      </c>
      <c r="P83" s="2">
        <v>67</v>
      </c>
    </row>
    <row r="84" spans="2:16" ht="10.5" customHeight="1">
      <c r="B84" s="5" t="s">
        <v>53</v>
      </c>
      <c r="C84" s="2">
        <v>9173</v>
      </c>
      <c r="D84" s="2">
        <v>438</v>
      </c>
      <c r="E84" s="2">
        <v>1163</v>
      </c>
      <c r="F84" s="2">
        <v>1091</v>
      </c>
      <c r="G84" s="2">
        <v>2360</v>
      </c>
      <c r="H84" s="2">
        <v>2500</v>
      </c>
      <c r="I84" s="2">
        <v>50</v>
      </c>
      <c r="J84" s="2">
        <v>126</v>
      </c>
      <c r="K84" s="2">
        <v>72</v>
      </c>
      <c r="L84" s="2">
        <v>65</v>
      </c>
      <c r="M84" s="2">
        <v>72</v>
      </c>
      <c r="N84" s="2">
        <v>41</v>
      </c>
      <c r="O84" s="2">
        <v>67</v>
      </c>
      <c r="P84" s="2">
        <v>28</v>
      </c>
    </row>
    <row r="85" spans="1:16" ht="10.5" customHeight="1">
      <c r="A85" s="3" t="s">
        <v>76</v>
      </c>
      <c r="C85" s="2">
        <v>61254</v>
      </c>
      <c r="D85" s="2">
        <v>2650</v>
      </c>
      <c r="E85" s="2">
        <v>8435</v>
      </c>
      <c r="F85" s="2">
        <v>7205</v>
      </c>
      <c r="G85" s="2">
        <v>14718</v>
      </c>
      <c r="H85" s="2">
        <v>12705</v>
      </c>
      <c r="I85" s="2">
        <v>351</v>
      </c>
      <c r="J85" s="2">
        <v>759</v>
      </c>
      <c r="K85" s="2">
        <v>348</v>
      </c>
      <c r="L85" s="2">
        <v>315</v>
      </c>
      <c r="M85" s="2">
        <v>274</v>
      </c>
      <c r="N85" s="2">
        <v>426</v>
      </c>
      <c r="O85" s="2">
        <v>361</v>
      </c>
      <c r="P85" s="2">
        <v>95</v>
      </c>
    </row>
    <row r="86" spans="2:16" s="4" customFormat="1" ht="10.5" customHeight="1">
      <c r="B86" s="6" t="s">
        <v>119</v>
      </c>
      <c r="C86" s="4">
        <f>C85/72339</f>
        <v>0.8467631568033841</v>
      </c>
      <c r="D86" s="4">
        <f>D85/72339</f>
        <v>0.036633074828239263</v>
      </c>
      <c r="E86" s="4">
        <f>E85/72339</f>
        <v>0.11660376836837667</v>
      </c>
      <c r="F86" s="4">
        <f>F85/35738</f>
        <v>0.20160613352733786</v>
      </c>
      <c r="G86" s="4">
        <f>G85/35738</f>
        <v>0.41183054451843976</v>
      </c>
      <c r="H86" s="4">
        <f>H85/35738</f>
        <v>0.3555039453802675</v>
      </c>
      <c r="I86" s="4">
        <f>I85/35738</f>
        <v>0.009821478538250602</v>
      </c>
      <c r="J86" s="4">
        <f>J85/35738</f>
        <v>0.021237898035704292</v>
      </c>
      <c r="K86" s="4">
        <f>K85/937</f>
        <v>0.37139807897545357</v>
      </c>
      <c r="L86" s="4">
        <f>L85/937</f>
        <v>0.33617929562433296</v>
      </c>
      <c r="M86" s="4">
        <f>M85/937</f>
        <v>0.29242262540021347</v>
      </c>
      <c r="N86" s="4">
        <f>N85/426</f>
        <v>1</v>
      </c>
      <c r="O86" s="4">
        <f>O85/361</f>
        <v>1</v>
      </c>
      <c r="P86" s="4">
        <f>P85/95</f>
        <v>1</v>
      </c>
    </row>
    <row r="87" spans="2:16" ht="10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0.5" customHeight="1">
      <c r="A88" s="3" t="s">
        <v>96</v>
      </c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0.5" customHeight="1">
      <c r="B89" s="5" t="s">
        <v>51</v>
      </c>
      <c r="C89" s="2">
        <v>17392</v>
      </c>
      <c r="D89" s="2">
        <v>589</v>
      </c>
      <c r="E89" s="2">
        <v>1423</v>
      </c>
      <c r="F89" s="2">
        <v>1682</v>
      </c>
      <c r="G89" s="2">
        <v>4413</v>
      </c>
      <c r="H89" s="2">
        <v>5101</v>
      </c>
      <c r="I89" s="2">
        <v>56</v>
      </c>
      <c r="J89" s="2">
        <v>145</v>
      </c>
      <c r="K89" s="2">
        <v>61</v>
      </c>
      <c r="L89" s="2">
        <v>92</v>
      </c>
      <c r="M89" s="2">
        <v>57</v>
      </c>
      <c r="N89" s="2">
        <v>181</v>
      </c>
      <c r="O89" s="2">
        <v>153</v>
      </c>
      <c r="P89" s="2">
        <v>11</v>
      </c>
    </row>
    <row r="90" spans="2:16" ht="10.5" customHeight="1">
      <c r="B90" s="5" t="s">
        <v>53</v>
      </c>
      <c r="C90" s="2">
        <v>49771</v>
      </c>
      <c r="D90" s="2">
        <v>1905</v>
      </c>
      <c r="E90" s="2">
        <v>5573</v>
      </c>
      <c r="F90" s="2">
        <v>6188</v>
      </c>
      <c r="G90" s="2">
        <v>11875</v>
      </c>
      <c r="H90" s="2">
        <v>19701</v>
      </c>
      <c r="I90" s="2">
        <v>142</v>
      </c>
      <c r="J90" s="2">
        <v>408</v>
      </c>
      <c r="K90" s="2">
        <v>218</v>
      </c>
      <c r="L90" s="2">
        <v>274</v>
      </c>
      <c r="M90" s="2">
        <v>214</v>
      </c>
      <c r="N90" s="2">
        <v>360</v>
      </c>
      <c r="O90" s="2">
        <v>398</v>
      </c>
      <c r="P90" s="2">
        <v>56</v>
      </c>
    </row>
    <row r="91" spans="2:16" ht="10.5" customHeight="1">
      <c r="B91" s="5" t="s">
        <v>54</v>
      </c>
      <c r="C91" s="2">
        <v>17563</v>
      </c>
      <c r="D91" s="2">
        <v>595</v>
      </c>
      <c r="E91" s="2">
        <v>1558</v>
      </c>
      <c r="F91" s="2">
        <v>888</v>
      </c>
      <c r="G91" s="2">
        <v>2861</v>
      </c>
      <c r="H91" s="2">
        <v>3129</v>
      </c>
      <c r="I91" s="2">
        <v>67</v>
      </c>
      <c r="J91" s="2">
        <v>125</v>
      </c>
      <c r="K91" s="2">
        <v>68</v>
      </c>
      <c r="L91" s="2">
        <v>73</v>
      </c>
      <c r="M91" s="2">
        <v>55</v>
      </c>
      <c r="N91" s="2">
        <v>416</v>
      </c>
      <c r="O91" s="2">
        <v>195</v>
      </c>
      <c r="P91" s="2">
        <v>57</v>
      </c>
    </row>
    <row r="92" spans="1:16" ht="10.5" customHeight="1">
      <c r="A92" s="3" t="s">
        <v>76</v>
      </c>
      <c r="C92" s="2">
        <v>84726</v>
      </c>
      <c r="D92" s="2">
        <v>3089</v>
      </c>
      <c r="E92" s="2">
        <v>8554</v>
      </c>
      <c r="F92" s="2">
        <v>8758</v>
      </c>
      <c r="G92" s="2">
        <v>19149</v>
      </c>
      <c r="H92" s="2">
        <v>27931</v>
      </c>
      <c r="I92" s="2">
        <v>265</v>
      </c>
      <c r="J92" s="2">
        <v>678</v>
      </c>
      <c r="K92" s="2">
        <v>347</v>
      </c>
      <c r="L92" s="2">
        <v>439</v>
      </c>
      <c r="M92" s="2">
        <v>326</v>
      </c>
      <c r="N92" s="2">
        <v>957</v>
      </c>
      <c r="O92" s="2">
        <v>746</v>
      </c>
      <c r="P92" s="2">
        <v>124</v>
      </c>
    </row>
    <row r="93" spans="2:16" s="4" customFormat="1" ht="10.5" customHeight="1">
      <c r="B93" s="6" t="s">
        <v>119</v>
      </c>
      <c r="C93" s="4">
        <f>C92/96369</f>
        <v>0.8791831398063693</v>
      </c>
      <c r="D93" s="4">
        <f>D92/96369</f>
        <v>0.03205387624651081</v>
      </c>
      <c r="E93" s="4">
        <f>E92/96369</f>
        <v>0.08876298394711993</v>
      </c>
      <c r="F93" s="4">
        <f>F92/56781</f>
        <v>0.15424173579190223</v>
      </c>
      <c r="G93" s="4">
        <f>G92/56781</f>
        <v>0.33724309187932583</v>
      </c>
      <c r="H93" s="4">
        <f>H92/56781</f>
        <v>0.4919075042707948</v>
      </c>
      <c r="I93" s="4">
        <f>I92/56781</f>
        <v>0.00466705412021627</v>
      </c>
      <c r="J93" s="4">
        <f>J92/56781</f>
        <v>0.01194061393776087</v>
      </c>
      <c r="K93" s="4">
        <f>K92/1112</f>
        <v>0.3120503597122302</v>
      </c>
      <c r="L93" s="4">
        <f>L92/1112</f>
        <v>0.3947841726618705</v>
      </c>
      <c r="M93" s="4">
        <f>M92/1112</f>
        <v>0.2931654676258993</v>
      </c>
      <c r="N93" s="4">
        <f>N92/957</f>
        <v>1</v>
      </c>
      <c r="O93" s="4">
        <f>O92/746</f>
        <v>1</v>
      </c>
      <c r="P93" s="4">
        <f>P92/124</f>
        <v>1</v>
      </c>
    </row>
    <row r="94" spans="2:16" ht="10.5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0.5" customHeight="1">
      <c r="A95" s="3" t="s">
        <v>97</v>
      </c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0.5" customHeight="1">
      <c r="B96" s="5" t="s">
        <v>55</v>
      </c>
      <c r="C96" s="2">
        <v>1940</v>
      </c>
      <c r="D96" s="2">
        <v>167</v>
      </c>
      <c r="E96" s="2">
        <v>812</v>
      </c>
      <c r="F96" s="2">
        <v>614</v>
      </c>
      <c r="G96" s="2">
        <v>2081</v>
      </c>
      <c r="H96" s="2">
        <v>673</v>
      </c>
      <c r="I96" s="2">
        <v>40</v>
      </c>
      <c r="J96" s="2">
        <v>87</v>
      </c>
      <c r="K96" s="2">
        <v>28</v>
      </c>
      <c r="L96" s="2">
        <v>39</v>
      </c>
      <c r="M96" s="2">
        <v>20</v>
      </c>
      <c r="N96" s="2">
        <v>10</v>
      </c>
      <c r="O96" s="2">
        <v>10</v>
      </c>
      <c r="P96" s="2">
        <v>6</v>
      </c>
    </row>
    <row r="97" spans="2:16" ht="10.5" customHeight="1">
      <c r="B97" s="5" t="s">
        <v>56</v>
      </c>
      <c r="C97" s="2">
        <v>6592</v>
      </c>
      <c r="D97" s="2">
        <v>718</v>
      </c>
      <c r="E97" s="2">
        <v>2435</v>
      </c>
      <c r="F97" s="2">
        <v>1969</v>
      </c>
      <c r="G97" s="2">
        <v>7984</v>
      </c>
      <c r="H97" s="2">
        <v>1763</v>
      </c>
      <c r="I97" s="2">
        <v>84</v>
      </c>
      <c r="J97" s="2">
        <v>277</v>
      </c>
      <c r="K97" s="2">
        <v>101</v>
      </c>
      <c r="L97" s="2">
        <v>126</v>
      </c>
      <c r="M97" s="2">
        <v>66</v>
      </c>
      <c r="N97" s="2">
        <v>53</v>
      </c>
      <c r="O97" s="2">
        <v>47</v>
      </c>
      <c r="P97" s="2">
        <v>17</v>
      </c>
    </row>
    <row r="98" spans="2:16" ht="10.5" customHeight="1">
      <c r="B98" s="5" t="s">
        <v>57</v>
      </c>
      <c r="C98" s="2">
        <v>10069</v>
      </c>
      <c r="D98" s="2">
        <v>593</v>
      </c>
      <c r="E98" s="2">
        <v>2035</v>
      </c>
      <c r="F98" s="2">
        <v>1121</v>
      </c>
      <c r="G98" s="2">
        <v>2274</v>
      </c>
      <c r="H98" s="2">
        <v>2468</v>
      </c>
      <c r="I98" s="2">
        <v>66</v>
      </c>
      <c r="J98" s="2">
        <v>185</v>
      </c>
      <c r="K98" s="2">
        <v>57</v>
      </c>
      <c r="L98" s="2">
        <v>56</v>
      </c>
      <c r="M98" s="2">
        <v>45</v>
      </c>
      <c r="N98" s="2">
        <v>42</v>
      </c>
      <c r="O98" s="2">
        <v>40</v>
      </c>
      <c r="P98" s="2">
        <v>11</v>
      </c>
    </row>
    <row r="99" spans="2:16" ht="10.5" customHeight="1">
      <c r="B99" s="5" t="s">
        <v>58</v>
      </c>
      <c r="C99" s="2">
        <v>3916</v>
      </c>
      <c r="D99" s="2">
        <v>218</v>
      </c>
      <c r="E99" s="2">
        <v>930</v>
      </c>
      <c r="F99" s="2">
        <v>913</v>
      </c>
      <c r="G99" s="2">
        <v>1715</v>
      </c>
      <c r="H99" s="2">
        <v>1452</v>
      </c>
      <c r="I99" s="2">
        <v>28</v>
      </c>
      <c r="J99" s="2">
        <v>87</v>
      </c>
      <c r="K99" s="2">
        <v>30</v>
      </c>
      <c r="L99" s="2">
        <v>48</v>
      </c>
      <c r="M99" s="2">
        <v>26</v>
      </c>
      <c r="N99" s="2">
        <v>27</v>
      </c>
      <c r="O99" s="2">
        <v>21</v>
      </c>
      <c r="P99" s="2">
        <v>5</v>
      </c>
    </row>
    <row r="100" spans="2:16" ht="10.5" customHeight="1">
      <c r="B100" s="5" t="s">
        <v>59</v>
      </c>
      <c r="C100" s="2">
        <v>12029</v>
      </c>
      <c r="D100" s="2">
        <v>1087</v>
      </c>
      <c r="E100" s="2">
        <v>4356</v>
      </c>
      <c r="F100" s="2">
        <v>3167</v>
      </c>
      <c r="G100" s="2">
        <v>11051</v>
      </c>
      <c r="H100" s="2">
        <v>3106</v>
      </c>
      <c r="I100" s="2">
        <v>157</v>
      </c>
      <c r="J100" s="2">
        <v>366</v>
      </c>
      <c r="K100" s="2">
        <v>110</v>
      </c>
      <c r="L100" s="2">
        <v>116</v>
      </c>
      <c r="M100" s="2">
        <v>83</v>
      </c>
      <c r="N100" s="2">
        <v>74</v>
      </c>
      <c r="O100" s="2">
        <v>103</v>
      </c>
      <c r="P100" s="2">
        <v>25</v>
      </c>
    </row>
    <row r="101" spans="1:16" ht="10.5" customHeight="1">
      <c r="A101" s="3" t="s">
        <v>76</v>
      </c>
      <c r="C101" s="2">
        <v>34546</v>
      </c>
      <c r="D101" s="2">
        <v>2783</v>
      </c>
      <c r="E101" s="2">
        <v>10568</v>
      </c>
      <c r="F101" s="2">
        <v>7784</v>
      </c>
      <c r="G101" s="2">
        <v>25105</v>
      </c>
      <c r="H101" s="2">
        <v>9462</v>
      </c>
      <c r="I101" s="2">
        <v>375</v>
      </c>
      <c r="J101" s="2">
        <v>1002</v>
      </c>
      <c r="K101" s="2">
        <v>326</v>
      </c>
      <c r="L101" s="2">
        <v>385</v>
      </c>
      <c r="M101" s="2">
        <v>240</v>
      </c>
      <c r="N101" s="2">
        <v>206</v>
      </c>
      <c r="O101" s="2">
        <v>221</v>
      </c>
      <c r="P101" s="2">
        <v>64</v>
      </c>
    </row>
    <row r="102" spans="2:16" s="4" customFormat="1" ht="10.5" customHeight="1">
      <c r="B102" s="6" t="s">
        <v>119</v>
      </c>
      <c r="C102" s="4">
        <f>C101/47897</f>
        <v>0.7212560285612878</v>
      </c>
      <c r="D102" s="4">
        <f>D101/47897</f>
        <v>0.05810384784015701</v>
      </c>
      <c r="E102" s="4">
        <f>E101/47897</f>
        <v>0.22064012359855523</v>
      </c>
      <c r="F102" s="4">
        <f>F101/43728</f>
        <v>0.17800951335528722</v>
      </c>
      <c r="G102" s="4">
        <f>G101/43728</f>
        <v>0.5741172703988291</v>
      </c>
      <c r="H102" s="4">
        <f>H101/43728</f>
        <v>0.21638309549945114</v>
      </c>
      <c r="I102" s="4">
        <f>I101/43728</f>
        <v>0.008575740944017564</v>
      </c>
      <c r="J102" s="4">
        <f>J101/43728</f>
        <v>0.022914379802414928</v>
      </c>
      <c r="K102" s="4">
        <f>K101/951</f>
        <v>0.34279705573080965</v>
      </c>
      <c r="L102" s="4">
        <f>L101/951</f>
        <v>0.4048370136698212</v>
      </c>
      <c r="M102" s="4">
        <f>M101/951</f>
        <v>0.25236593059936907</v>
      </c>
      <c r="N102" s="4">
        <f>N101/206</f>
        <v>1</v>
      </c>
      <c r="O102" s="4">
        <f>O101/221</f>
        <v>1</v>
      </c>
      <c r="P102" s="4">
        <f>P101/64</f>
        <v>1</v>
      </c>
    </row>
    <row r="103" spans="2:16" ht="10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0.5" customHeight="1">
      <c r="A104" s="3" t="s">
        <v>98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0.5" customHeight="1">
      <c r="B105" s="5" t="s">
        <v>53</v>
      </c>
      <c r="C105" s="2">
        <v>60267</v>
      </c>
      <c r="D105" s="2">
        <v>2288</v>
      </c>
      <c r="E105" s="2">
        <v>7733</v>
      </c>
      <c r="F105" s="2">
        <v>7003</v>
      </c>
      <c r="G105" s="2">
        <v>11191</v>
      </c>
      <c r="H105" s="2">
        <v>16179</v>
      </c>
      <c r="I105" s="2">
        <v>171</v>
      </c>
      <c r="J105" s="2">
        <v>720</v>
      </c>
      <c r="K105" s="2">
        <v>326</v>
      </c>
      <c r="L105" s="2">
        <v>400</v>
      </c>
      <c r="M105" s="2">
        <v>383</v>
      </c>
      <c r="N105" s="2">
        <v>482</v>
      </c>
      <c r="O105" s="2">
        <v>533</v>
      </c>
      <c r="P105" s="2">
        <v>145</v>
      </c>
    </row>
    <row r="106" spans="1:16" ht="10.5" customHeight="1">
      <c r="A106" s="3" t="s">
        <v>76</v>
      </c>
      <c r="C106" s="2">
        <v>60267</v>
      </c>
      <c r="D106" s="2">
        <v>2288</v>
      </c>
      <c r="E106" s="2">
        <v>7733</v>
      </c>
      <c r="F106" s="2">
        <v>7003</v>
      </c>
      <c r="G106" s="2">
        <v>11191</v>
      </c>
      <c r="H106" s="2">
        <v>16179</v>
      </c>
      <c r="I106" s="2">
        <v>171</v>
      </c>
      <c r="J106" s="2">
        <v>720</v>
      </c>
      <c r="K106" s="2">
        <v>326</v>
      </c>
      <c r="L106" s="2">
        <v>400</v>
      </c>
      <c r="M106" s="2">
        <v>383</v>
      </c>
      <c r="N106" s="2">
        <v>482</v>
      </c>
      <c r="O106" s="2">
        <v>533</v>
      </c>
      <c r="P106" s="2">
        <v>145</v>
      </c>
    </row>
    <row r="107" spans="2:16" s="4" customFormat="1" ht="10.5" customHeight="1">
      <c r="B107" s="6" t="s">
        <v>119</v>
      </c>
      <c r="C107" s="4">
        <f>C106/70288</f>
        <v>0.8574294331891645</v>
      </c>
      <c r="D107" s="4">
        <f>D106/70288</f>
        <v>0.03255178693375825</v>
      </c>
      <c r="E107" s="4">
        <f>E106/70288</f>
        <v>0.11001877987707717</v>
      </c>
      <c r="F107" s="4">
        <f>F106/35264</f>
        <v>0.1985877949183303</v>
      </c>
      <c r="G107" s="4">
        <f>G106/35264</f>
        <v>0.3173491379310345</v>
      </c>
      <c r="H107" s="4">
        <f>H106/35264</f>
        <v>0.45879650635208713</v>
      </c>
      <c r="I107" s="4">
        <f>I106/35264</f>
        <v>0.004849137931034483</v>
      </c>
      <c r="J107" s="4">
        <f>J106/35264</f>
        <v>0.02041742286751361</v>
      </c>
      <c r="K107" s="4">
        <f>K106/1109</f>
        <v>0.2939585211902615</v>
      </c>
      <c r="L107" s="4">
        <f>L106/1109</f>
        <v>0.3606853020739405</v>
      </c>
      <c r="M107" s="4">
        <f>M106/1109</f>
        <v>0.345356176735798</v>
      </c>
      <c r="N107" s="4">
        <f>N106/482</f>
        <v>1</v>
      </c>
      <c r="O107" s="4">
        <f>O106/533</f>
        <v>1</v>
      </c>
      <c r="P107" s="4">
        <f>P106/145</f>
        <v>1</v>
      </c>
    </row>
    <row r="108" spans="2:16" ht="10.5" customHeight="1"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0.5" customHeight="1">
      <c r="A109" s="3" t="s">
        <v>99</v>
      </c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0.5" customHeight="1">
      <c r="B110" s="5" t="s">
        <v>60</v>
      </c>
      <c r="C110" s="2">
        <v>19400</v>
      </c>
      <c r="D110" s="2">
        <v>1619</v>
      </c>
      <c r="E110" s="2">
        <v>5863</v>
      </c>
      <c r="F110" s="2">
        <v>7140</v>
      </c>
      <c r="G110" s="2">
        <v>34764</v>
      </c>
      <c r="H110" s="2">
        <v>9306</v>
      </c>
      <c r="I110" s="2">
        <v>697</v>
      </c>
      <c r="J110" s="2">
        <v>629</v>
      </c>
      <c r="K110" s="2">
        <v>190</v>
      </c>
      <c r="L110" s="2">
        <v>228</v>
      </c>
      <c r="M110" s="2">
        <v>150</v>
      </c>
      <c r="N110" s="2">
        <v>147</v>
      </c>
      <c r="O110" s="2">
        <v>203</v>
      </c>
      <c r="P110" s="2">
        <v>38</v>
      </c>
    </row>
    <row r="111" spans="2:16" ht="10.5" customHeight="1">
      <c r="B111" s="5" t="s">
        <v>55</v>
      </c>
      <c r="C111" s="2">
        <v>2852</v>
      </c>
      <c r="D111" s="2">
        <v>331</v>
      </c>
      <c r="E111" s="2">
        <v>1201</v>
      </c>
      <c r="F111" s="2">
        <v>1709</v>
      </c>
      <c r="G111" s="2">
        <v>6380</v>
      </c>
      <c r="H111" s="2">
        <v>1785</v>
      </c>
      <c r="I111" s="2">
        <v>91</v>
      </c>
      <c r="J111" s="2">
        <v>118</v>
      </c>
      <c r="K111" s="2">
        <v>72</v>
      </c>
      <c r="L111" s="2">
        <v>77</v>
      </c>
      <c r="M111" s="2">
        <v>50</v>
      </c>
      <c r="N111" s="2">
        <v>44</v>
      </c>
      <c r="O111" s="2">
        <v>49</v>
      </c>
      <c r="P111" s="2">
        <v>10</v>
      </c>
    </row>
    <row r="112" spans="2:16" ht="10.5" customHeight="1">
      <c r="B112" s="5" t="s">
        <v>61</v>
      </c>
      <c r="C112" s="2">
        <v>1470</v>
      </c>
      <c r="D112" s="2">
        <v>101</v>
      </c>
      <c r="E112" s="2">
        <v>409</v>
      </c>
      <c r="F112" s="2">
        <v>557</v>
      </c>
      <c r="G112" s="2">
        <v>2202</v>
      </c>
      <c r="H112" s="2">
        <v>549</v>
      </c>
      <c r="I112" s="2">
        <v>36</v>
      </c>
      <c r="J112" s="2">
        <v>46</v>
      </c>
      <c r="K112" s="2">
        <v>29</v>
      </c>
      <c r="L112" s="2">
        <v>44</v>
      </c>
      <c r="M112" s="2">
        <v>19</v>
      </c>
      <c r="N112" s="2">
        <v>37</v>
      </c>
      <c r="O112" s="2">
        <v>32</v>
      </c>
      <c r="P112" s="2">
        <v>0</v>
      </c>
    </row>
    <row r="113" spans="2:16" ht="10.5" customHeight="1">
      <c r="B113" s="5" t="s">
        <v>48</v>
      </c>
      <c r="C113" s="2">
        <v>6086</v>
      </c>
      <c r="D113" s="2">
        <v>802</v>
      </c>
      <c r="E113" s="2">
        <v>2499</v>
      </c>
      <c r="F113" s="2">
        <v>3252</v>
      </c>
      <c r="G113" s="2">
        <v>12443</v>
      </c>
      <c r="H113" s="2">
        <v>3516</v>
      </c>
      <c r="I113" s="2">
        <v>125</v>
      </c>
      <c r="J113" s="2">
        <v>332</v>
      </c>
      <c r="K113" s="2">
        <v>114</v>
      </c>
      <c r="L113" s="2">
        <v>137</v>
      </c>
      <c r="M113" s="2">
        <v>57</v>
      </c>
      <c r="N113" s="2">
        <v>36</v>
      </c>
      <c r="O113" s="2">
        <v>81</v>
      </c>
      <c r="P113" s="2">
        <v>9</v>
      </c>
    </row>
    <row r="114" spans="2:16" ht="10.5" customHeight="1">
      <c r="B114" s="5" t="s">
        <v>59</v>
      </c>
      <c r="C114" s="2">
        <v>6262</v>
      </c>
      <c r="D114" s="2">
        <v>580</v>
      </c>
      <c r="E114" s="2">
        <v>2595</v>
      </c>
      <c r="F114" s="2">
        <v>2782</v>
      </c>
      <c r="G114" s="2">
        <v>10161</v>
      </c>
      <c r="H114" s="2">
        <v>2913</v>
      </c>
      <c r="I114" s="2">
        <v>98</v>
      </c>
      <c r="J114" s="2">
        <v>266</v>
      </c>
      <c r="K114" s="2">
        <v>78</v>
      </c>
      <c r="L114" s="2">
        <v>95</v>
      </c>
      <c r="M114" s="2">
        <v>61</v>
      </c>
      <c r="N114" s="2">
        <v>23</v>
      </c>
      <c r="O114" s="2">
        <v>66</v>
      </c>
      <c r="P114" s="2">
        <v>8</v>
      </c>
    </row>
    <row r="115" spans="2:16" ht="10.5" customHeight="1">
      <c r="B115" s="5" t="s">
        <v>62</v>
      </c>
      <c r="C115" s="2">
        <v>3788</v>
      </c>
      <c r="D115" s="2">
        <v>297</v>
      </c>
      <c r="E115" s="2">
        <v>1311</v>
      </c>
      <c r="F115" s="2">
        <v>1334</v>
      </c>
      <c r="G115" s="2">
        <v>5394</v>
      </c>
      <c r="H115" s="2">
        <v>1385</v>
      </c>
      <c r="I115" s="2">
        <v>72</v>
      </c>
      <c r="J115" s="2">
        <v>121</v>
      </c>
      <c r="K115" s="2">
        <v>76</v>
      </c>
      <c r="L115" s="2">
        <v>82</v>
      </c>
      <c r="M115" s="2">
        <v>43</v>
      </c>
      <c r="N115" s="2">
        <v>55</v>
      </c>
      <c r="O115" s="2">
        <v>84</v>
      </c>
      <c r="P115" s="2">
        <v>10</v>
      </c>
    </row>
    <row r="116" spans="1:16" ht="10.5" customHeight="1">
      <c r="A116" s="3" t="s">
        <v>76</v>
      </c>
      <c r="C116" s="2">
        <v>39858</v>
      </c>
      <c r="D116" s="2">
        <v>3730</v>
      </c>
      <c r="E116" s="2">
        <v>13878</v>
      </c>
      <c r="F116" s="2">
        <v>16774</v>
      </c>
      <c r="G116" s="2">
        <v>71344</v>
      </c>
      <c r="H116" s="2">
        <v>19454</v>
      </c>
      <c r="I116" s="2">
        <v>1119</v>
      </c>
      <c r="J116" s="2">
        <v>1512</v>
      </c>
      <c r="K116" s="2">
        <v>559</v>
      </c>
      <c r="L116" s="2">
        <v>663</v>
      </c>
      <c r="M116" s="2">
        <v>380</v>
      </c>
      <c r="N116" s="2">
        <v>342</v>
      </c>
      <c r="O116" s="2">
        <v>515</v>
      </c>
      <c r="P116" s="2">
        <v>75</v>
      </c>
    </row>
    <row r="117" spans="2:16" s="4" customFormat="1" ht="10.5" customHeight="1">
      <c r="B117" s="6" t="s">
        <v>119</v>
      </c>
      <c r="C117" s="4">
        <f>C116/57466</f>
        <v>0.6935927330943514</v>
      </c>
      <c r="D117" s="4">
        <f>D116/57466</f>
        <v>0.06490794556781401</v>
      </c>
      <c r="E117" s="4">
        <f>E116/57466</f>
        <v>0.24149932133783455</v>
      </c>
      <c r="F117" s="4">
        <f>F116/110203</f>
        <v>0.1522100124316035</v>
      </c>
      <c r="G117" s="4">
        <f>G116/110203</f>
        <v>0.647387094725189</v>
      </c>
      <c r="H117" s="4">
        <f>H116/110203</f>
        <v>0.17652876963422048</v>
      </c>
      <c r="I117" s="4">
        <f>I116/110203</f>
        <v>0.010153988548406124</v>
      </c>
      <c r="J117" s="4">
        <f>J116/110203</f>
        <v>0.013720134660580929</v>
      </c>
      <c r="K117" s="4">
        <f>K116/1602</f>
        <v>0.3489388264669164</v>
      </c>
      <c r="L117" s="4">
        <f>L116/1602</f>
        <v>0.41385767790262173</v>
      </c>
      <c r="M117" s="4">
        <f>M116/1602</f>
        <v>0.23720349563046192</v>
      </c>
      <c r="N117" s="4">
        <f>N116/342</f>
        <v>1</v>
      </c>
      <c r="O117" s="4">
        <f>O116/515</f>
        <v>1</v>
      </c>
      <c r="P117" s="4">
        <f>P116/75</f>
        <v>1</v>
      </c>
    </row>
    <row r="118" spans="2:16" ht="10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0.5" customHeight="1">
      <c r="A119" s="3" t="s">
        <v>100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0.5" customHeight="1">
      <c r="B120" s="5" t="s">
        <v>57</v>
      </c>
      <c r="C120" s="2">
        <v>15973</v>
      </c>
      <c r="D120" s="2">
        <v>880</v>
      </c>
      <c r="E120" s="2">
        <v>1849</v>
      </c>
      <c r="F120" s="2">
        <v>2089</v>
      </c>
      <c r="G120" s="2">
        <v>6623</v>
      </c>
      <c r="H120" s="2">
        <v>5692</v>
      </c>
      <c r="I120" s="2">
        <v>149</v>
      </c>
      <c r="J120" s="2">
        <v>251</v>
      </c>
      <c r="K120" s="2">
        <v>113</v>
      </c>
      <c r="L120" s="2">
        <v>147</v>
      </c>
      <c r="M120" s="2">
        <v>66</v>
      </c>
      <c r="N120" s="2">
        <v>189</v>
      </c>
      <c r="O120" s="2">
        <v>129</v>
      </c>
      <c r="P120" s="2">
        <v>19</v>
      </c>
    </row>
    <row r="121" spans="2:16" ht="10.5" customHeight="1">
      <c r="B121" s="5" t="s">
        <v>63</v>
      </c>
      <c r="C121" s="2">
        <v>20893</v>
      </c>
      <c r="D121" s="2">
        <v>954</v>
      </c>
      <c r="E121" s="2">
        <v>3484</v>
      </c>
      <c r="F121" s="2">
        <v>5916</v>
      </c>
      <c r="G121" s="2">
        <v>20827</v>
      </c>
      <c r="H121" s="2">
        <v>7559</v>
      </c>
      <c r="I121" s="2">
        <v>391</v>
      </c>
      <c r="J121" s="2">
        <v>694</v>
      </c>
      <c r="K121" s="2">
        <v>140</v>
      </c>
      <c r="L121" s="2">
        <v>142</v>
      </c>
      <c r="M121" s="2">
        <v>94</v>
      </c>
      <c r="N121" s="2">
        <v>312</v>
      </c>
      <c r="O121" s="2">
        <v>296</v>
      </c>
      <c r="P121" s="2">
        <v>37</v>
      </c>
    </row>
    <row r="122" spans="2:16" ht="10.5" customHeight="1">
      <c r="B122" s="5" t="s">
        <v>64</v>
      </c>
      <c r="C122" s="2">
        <v>3926</v>
      </c>
      <c r="D122" s="2">
        <v>381</v>
      </c>
      <c r="E122" s="2">
        <v>1241</v>
      </c>
      <c r="F122" s="2">
        <v>1937</v>
      </c>
      <c r="G122" s="2">
        <v>4914</v>
      </c>
      <c r="H122" s="2">
        <v>1928</v>
      </c>
      <c r="I122" s="2">
        <v>110</v>
      </c>
      <c r="J122" s="2">
        <v>206</v>
      </c>
      <c r="K122" s="2">
        <v>53</v>
      </c>
      <c r="L122" s="2">
        <v>59</v>
      </c>
      <c r="M122" s="2">
        <v>34</v>
      </c>
      <c r="N122" s="2">
        <v>27</v>
      </c>
      <c r="O122" s="2">
        <v>43</v>
      </c>
      <c r="P122" s="2">
        <v>13</v>
      </c>
    </row>
    <row r="123" spans="2:16" ht="10.5" customHeight="1">
      <c r="B123" s="5" t="s">
        <v>53</v>
      </c>
      <c r="C123" s="2">
        <v>17953</v>
      </c>
      <c r="D123" s="2">
        <v>802</v>
      </c>
      <c r="E123" s="2">
        <v>2508</v>
      </c>
      <c r="F123" s="2">
        <v>3965</v>
      </c>
      <c r="G123" s="2">
        <v>7681</v>
      </c>
      <c r="H123" s="2">
        <v>11693</v>
      </c>
      <c r="I123" s="2">
        <v>66</v>
      </c>
      <c r="J123" s="2">
        <v>218</v>
      </c>
      <c r="K123" s="2">
        <v>96</v>
      </c>
      <c r="L123" s="2">
        <v>147</v>
      </c>
      <c r="M123" s="2">
        <v>102</v>
      </c>
      <c r="N123" s="2">
        <v>113</v>
      </c>
      <c r="O123" s="2">
        <v>144</v>
      </c>
      <c r="P123" s="2">
        <v>20</v>
      </c>
    </row>
    <row r="124" spans="2:16" ht="10.5" customHeight="1">
      <c r="B124" s="5" t="s">
        <v>54</v>
      </c>
      <c r="C124" s="2">
        <v>10432</v>
      </c>
      <c r="D124" s="2">
        <v>418</v>
      </c>
      <c r="E124" s="2">
        <v>1392</v>
      </c>
      <c r="F124" s="2">
        <v>1056</v>
      </c>
      <c r="G124" s="2">
        <v>3135</v>
      </c>
      <c r="H124" s="2">
        <v>3202</v>
      </c>
      <c r="I124" s="2">
        <v>50</v>
      </c>
      <c r="J124" s="2">
        <v>118</v>
      </c>
      <c r="K124" s="2">
        <v>40</v>
      </c>
      <c r="L124" s="2">
        <v>69</v>
      </c>
      <c r="M124" s="2">
        <v>37</v>
      </c>
      <c r="N124" s="2">
        <v>149</v>
      </c>
      <c r="O124" s="2">
        <v>91</v>
      </c>
      <c r="P124" s="2">
        <v>20</v>
      </c>
    </row>
    <row r="125" spans="1:16" ht="10.5" customHeight="1">
      <c r="A125" s="3" t="s">
        <v>76</v>
      </c>
      <c r="C125" s="2">
        <v>69177</v>
      </c>
      <c r="D125" s="2">
        <v>3435</v>
      </c>
      <c r="E125" s="2">
        <v>10474</v>
      </c>
      <c r="F125" s="2">
        <v>14963</v>
      </c>
      <c r="G125" s="2">
        <v>43180</v>
      </c>
      <c r="H125" s="2">
        <v>30074</v>
      </c>
      <c r="I125" s="2">
        <v>766</v>
      </c>
      <c r="J125" s="2">
        <v>1487</v>
      </c>
      <c r="K125" s="2">
        <v>442</v>
      </c>
      <c r="L125" s="2">
        <v>564</v>
      </c>
      <c r="M125" s="2">
        <v>333</v>
      </c>
      <c r="N125" s="2">
        <v>790</v>
      </c>
      <c r="O125" s="2">
        <v>703</v>
      </c>
      <c r="P125" s="2">
        <v>109</v>
      </c>
    </row>
    <row r="126" spans="2:16" s="4" customFormat="1" ht="10.5" customHeight="1">
      <c r="B126" s="6" t="s">
        <v>119</v>
      </c>
      <c r="C126" s="4">
        <f>C125/83086</f>
        <v>0.8325951423825916</v>
      </c>
      <c r="D126" s="4">
        <f>D125/83086</f>
        <v>0.04134270514888188</v>
      </c>
      <c r="E126" s="4">
        <f>E125/83086</f>
        <v>0.1260621524685266</v>
      </c>
      <c r="F126" s="4">
        <f>F125/90470</f>
        <v>0.16539184259975684</v>
      </c>
      <c r="G126" s="4">
        <f>G125/90470</f>
        <v>0.47728528794075387</v>
      </c>
      <c r="H126" s="4">
        <f>H125/90470</f>
        <v>0.3324195866032939</v>
      </c>
      <c r="I126" s="4">
        <f>I125/90470</f>
        <v>0.008466895103349177</v>
      </c>
      <c r="J126" s="4">
        <f>J125/90470</f>
        <v>0.016436387752846247</v>
      </c>
      <c r="K126" s="4">
        <f>K125/1339</f>
        <v>0.3300970873786408</v>
      </c>
      <c r="L126" s="4">
        <f>L125/1339</f>
        <v>0.421209858103062</v>
      </c>
      <c r="M126" s="4">
        <f>M125/1339</f>
        <v>0.24869305451829724</v>
      </c>
      <c r="N126" s="4">
        <f>N125/790</f>
        <v>1</v>
      </c>
      <c r="O126" s="4">
        <f>O125/703</f>
        <v>1</v>
      </c>
      <c r="P126" s="4">
        <f>P125/109</f>
        <v>1</v>
      </c>
    </row>
    <row r="127" spans="2:16" ht="10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0.5" customHeight="1">
      <c r="A128" s="3" t="s">
        <v>101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0.5" customHeight="1">
      <c r="B129" s="5" t="s">
        <v>60</v>
      </c>
      <c r="C129" s="2">
        <v>11606</v>
      </c>
      <c r="D129" s="2">
        <v>848</v>
      </c>
      <c r="E129" s="2">
        <v>3405</v>
      </c>
      <c r="F129" s="2">
        <v>1408</v>
      </c>
      <c r="G129" s="2">
        <v>6138</v>
      </c>
      <c r="H129" s="2">
        <v>1882</v>
      </c>
      <c r="I129" s="2">
        <v>208</v>
      </c>
      <c r="J129" s="2">
        <v>357</v>
      </c>
      <c r="K129" s="2">
        <v>76</v>
      </c>
      <c r="L129" s="2">
        <v>72</v>
      </c>
      <c r="M129" s="2">
        <v>66</v>
      </c>
      <c r="N129" s="2">
        <v>55</v>
      </c>
      <c r="O129" s="2">
        <v>50</v>
      </c>
      <c r="P129" s="2">
        <v>23</v>
      </c>
    </row>
    <row r="130" spans="2:16" ht="10.5" customHeight="1">
      <c r="B130" s="5" t="s">
        <v>65</v>
      </c>
      <c r="C130" s="2">
        <v>5289</v>
      </c>
      <c r="D130" s="2">
        <v>400</v>
      </c>
      <c r="E130" s="2">
        <v>1780</v>
      </c>
      <c r="F130" s="2">
        <v>978</v>
      </c>
      <c r="G130" s="2">
        <v>2197</v>
      </c>
      <c r="H130" s="2">
        <v>854</v>
      </c>
      <c r="I130" s="2">
        <v>60</v>
      </c>
      <c r="J130" s="2">
        <v>232</v>
      </c>
      <c r="K130" s="2">
        <v>26</v>
      </c>
      <c r="L130" s="2">
        <v>48</v>
      </c>
      <c r="M130" s="2">
        <v>34</v>
      </c>
      <c r="N130" s="2">
        <v>8</v>
      </c>
      <c r="O130" s="2">
        <v>23</v>
      </c>
      <c r="P130" s="2">
        <v>7</v>
      </c>
    </row>
    <row r="131" spans="2:16" ht="10.5" customHeight="1">
      <c r="B131" s="5" t="s">
        <v>66</v>
      </c>
      <c r="C131" s="2">
        <v>3529</v>
      </c>
      <c r="D131" s="2">
        <v>539</v>
      </c>
      <c r="E131" s="2">
        <v>1495</v>
      </c>
      <c r="F131" s="2">
        <v>1792</v>
      </c>
      <c r="G131" s="2">
        <v>5603</v>
      </c>
      <c r="H131" s="2">
        <v>1635</v>
      </c>
      <c r="I131" s="2">
        <v>126</v>
      </c>
      <c r="J131" s="2">
        <v>210</v>
      </c>
      <c r="K131" s="2">
        <v>83</v>
      </c>
      <c r="L131" s="2">
        <v>74</v>
      </c>
      <c r="M131" s="2">
        <v>30</v>
      </c>
      <c r="N131" s="2">
        <v>16</v>
      </c>
      <c r="O131" s="2">
        <v>38</v>
      </c>
      <c r="P131" s="2">
        <v>6</v>
      </c>
    </row>
    <row r="132" spans="2:16" ht="10.5" customHeight="1">
      <c r="B132" s="5" t="s">
        <v>67</v>
      </c>
      <c r="C132" s="2">
        <v>1774</v>
      </c>
      <c r="D132" s="2">
        <v>182</v>
      </c>
      <c r="E132" s="2">
        <v>787</v>
      </c>
      <c r="F132" s="2">
        <v>569</v>
      </c>
      <c r="G132" s="2">
        <v>2233</v>
      </c>
      <c r="H132" s="2">
        <v>579</v>
      </c>
      <c r="I132" s="2">
        <v>49</v>
      </c>
      <c r="J132" s="2">
        <v>107</v>
      </c>
      <c r="K132" s="2">
        <v>25</v>
      </c>
      <c r="L132" s="2">
        <v>25</v>
      </c>
      <c r="M132" s="2">
        <v>18</v>
      </c>
      <c r="N132" s="2">
        <v>3</v>
      </c>
      <c r="O132" s="2">
        <v>12</v>
      </c>
      <c r="P132" s="2">
        <v>7</v>
      </c>
    </row>
    <row r="133" spans="1:16" ht="10.5" customHeight="1">
      <c r="A133" s="3" t="s">
        <v>76</v>
      </c>
      <c r="C133" s="2">
        <v>22198</v>
      </c>
      <c r="D133" s="2">
        <v>1969</v>
      </c>
      <c r="E133" s="2">
        <v>7467</v>
      </c>
      <c r="F133" s="2">
        <v>4747</v>
      </c>
      <c r="G133" s="2">
        <v>16171</v>
      </c>
      <c r="H133" s="2">
        <v>4950</v>
      </c>
      <c r="I133" s="2">
        <v>443</v>
      </c>
      <c r="J133" s="2">
        <v>906</v>
      </c>
      <c r="K133" s="2">
        <v>210</v>
      </c>
      <c r="L133" s="2">
        <v>219</v>
      </c>
      <c r="M133" s="2">
        <v>148</v>
      </c>
      <c r="N133" s="2">
        <v>82</v>
      </c>
      <c r="O133" s="2">
        <v>123</v>
      </c>
      <c r="P133" s="2">
        <v>43</v>
      </c>
    </row>
    <row r="134" spans="2:16" s="4" customFormat="1" ht="10.5" customHeight="1">
      <c r="B134" s="6" t="s">
        <v>119</v>
      </c>
      <c r="C134" s="4">
        <f>C133/31634</f>
        <v>0.7017133463994436</v>
      </c>
      <c r="D134" s="4">
        <f>D133/31634</f>
        <v>0.06224315609786938</v>
      </c>
      <c r="E134" s="4">
        <f>E133/31634</f>
        <v>0.236043497502687</v>
      </c>
      <c r="F134" s="4">
        <f>F133/27217</f>
        <v>0.17441305066686263</v>
      </c>
      <c r="G134" s="4">
        <f>G133/27217</f>
        <v>0.5941507146268876</v>
      </c>
      <c r="H134" s="4">
        <f>H133/27217</f>
        <v>0.1818716243524268</v>
      </c>
      <c r="I134" s="4">
        <f>I133/27217</f>
        <v>0.01627659183598486</v>
      </c>
      <c r="J134" s="4">
        <f>J133/27217</f>
        <v>0.033288018517838115</v>
      </c>
      <c r="K134" s="4">
        <f>K133/577</f>
        <v>0.36395147313691506</v>
      </c>
      <c r="L134" s="4">
        <f>L133/577</f>
        <v>0.37954939341421146</v>
      </c>
      <c r="M134" s="4">
        <f>M133/577</f>
        <v>0.2564991334488735</v>
      </c>
      <c r="N134" s="4">
        <f>N133/82</f>
        <v>1</v>
      </c>
      <c r="O134" s="4">
        <f>O133/123</f>
        <v>1</v>
      </c>
      <c r="P134" s="4">
        <f>P133/43</f>
        <v>1</v>
      </c>
    </row>
    <row r="135" spans="2:16" ht="10.5" customHeight="1"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0.5" customHeight="1">
      <c r="A136" s="3" t="s">
        <v>102</v>
      </c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0.5" customHeight="1">
      <c r="B137" s="5" t="s">
        <v>65</v>
      </c>
      <c r="C137" s="2">
        <v>0</v>
      </c>
      <c r="D137" s="2">
        <v>0</v>
      </c>
      <c r="E137" s="2">
        <v>0</v>
      </c>
      <c r="F137" s="2">
        <v>1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</row>
    <row r="138" spans="2:16" ht="10.5" customHeight="1">
      <c r="B138" s="5" t="s">
        <v>68</v>
      </c>
      <c r="C138" s="2">
        <v>19087</v>
      </c>
      <c r="D138" s="2">
        <v>2467</v>
      </c>
      <c r="E138" s="2">
        <v>4802</v>
      </c>
      <c r="F138" s="2">
        <v>9676</v>
      </c>
      <c r="G138" s="2">
        <v>29956</v>
      </c>
      <c r="H138" s="2">
        <v>6417</v>
      </c>
      <c r="I138" s="2">
        <v>467</v>
      </c>
      <c r="J138" s="2">
        <v>668</v>
      </c>
      <c r="K138" s="2">
        <v>252</v>
      </c>
      <c r="L138" s="2">
        <v>255</v>
      </c>
      <c r="M138" s="2">
        <v>207</v>
      </c>
      <c r="N138" s="2">
        <v>121</v>
      </c>
      <c r="O138" s="2">
        <v>252</v>
      </c>
      <c r="P138" s="2">
        <v>36</v>
      </c>
    </row>
    <row r="139" spans="2:16" ht="10.5" customHeight="1">
      <c r="B139" s="5" t="s">
        <v>69</v>
      </c>
      <c r="C139" s="2">
        <v>6792</v>
      </c>
      <c r="D139" s="2">
        <v>1267</v>
      </c>
      <c r="E139" s="2">
        <v>2541</v>
      </c>
      <c r="F139" s="2">
        <v>4268</v>
      </c>
      <c r="G139" s="2">
        <v>14507</v>
      </c>
      <c r="H139" s="2">
        <v>2956</v>
      </c>
      <c r="I139" s="2">
        <v>121</v>
      </c>
      <c r="J139" s="2">
        <v>312</v>
      </c>
      <c r="K139" s="2">
        <v>239</v>
      </c>
      <c r="L139" s="2">
        <v>248</v>
      </c>
      <c r="M139" s="2">
        <v>118</v>
      </c>
      <c r="N139" s="2">
        <v>34</v>
      </c>
      <c r="O139" s="2">
        <v>161</v>
      </c>
      <c r="P139" s="2">
        <v>23</v>
      </c>
    </row>
    <row r="140" spans="2:16" ht="10.5" customHeight="1">
      <c r="B140" s="5" t="s">
        <v>70</v>
      </c>
      <c r="C140" s="2">
        <v>2453</v>
      </c>
      <c r="D140" s="2">
        <v>155</v>
      </c>
      <c r="E140" s="2">
        <v>614</v>
      </c>
      <c r="F140" s="2">
        <v>618</v>
      </c>
      <c r="G140" s="2">
        <v>1711</v>
      </c>
      <c r="H140" s="2">
        <v>552</v>
      </c>
      <c r="I140" s="2">
        <v>13</v>
      </c>
      <c r="J140" s="2">
        <v>85</v>
      </c>
      <c r="K140" s="2">
        <v>12</v>
      </c>
      <c r="L140" s="2">
        <v>16</v>
      </c>
      <c r="M140" s="2">
        <v>14</v>
      </c>
      <c r="N140" s="2">
        <v>22</v>
      </c>
      <c r="O140" s="2">
        <v>28</v>
      </c>
      <c r="P140" s="2">
        <v>6</v>
      </c>
    </row>
    <row r="141" spans="1:16" ht="10.5" customHeight="1">
      <c r="A141" s="3" t="s">
        <v>76</v>
      </c>
      <c r="C141" s="2">
        <v>28332</v>
      </c>
      <c r="D141" s="2">
        <v>3889</v>
      </c>
      <c r="E141" s="2">
        <v>7957</v>
      </c>
      <c r="F141" s="2">
        <v>14563</v>
      </c>
      <c r="G141" s="2">
        <v>46175</v>
      </c>
      <c r="H141" s="2">
        <v>9925</v>
      </c>
      <c r="I141" s="2">
        <v>601</v>
      </c>
      <c r="J141" s="2">
        <v>1065</v>
      </c>
      <c r="K141" s="2">
        <v>503</v>
      </c>
      <c r="L141" s="2">
        <v>519</v>
      </c>
      <c r="M141" s="2">
        <v>339</v>
      </c>
      <c r="N141" s="2">
        <v>177</v>
      </c>
      <c r="O141" s="2">
        <v>441</v>
      </c>
      <c r="P141" s="2">
        <v>65</v>
      </c>
    </row>
    <row r="142" spans="2:16" s="4" customFormat="1" ht="10.5" customHeight="1">
      <c r="B142" s="6" t="s">
        <v>119</v>
      </c>
      <c r="C142" s="4">
        <f>C141/40178</f>
        <v>0.7051620289710787</v>
      </c>
      <c r="D142" s="4">
        <f>D141/40178</f>
        <v>0.09679426551844293</v>
      </c>
      <c r="E142" s="4">
        <f>E141/40178</f>
        <v>0.19804370551047837</v>
      </c>
      <c r="F142" s="4">
        <f>F141/72329</f>
        <v>0.20134385930954388</v>
      </c>
      <c r="G142" s="4">
        <f>G141/72329</f>
        <v>0.6384023005986533</v>
      </c>
      <c r="H142" s="4">
        <f>H141/72329</f>
        <v>0.13722020213192496</v>
      </c>
      <c r="I142" s="4">
        <f>I141/72329</f>
        <v>0.008309253549751828</v>
      </c>
      <c r="J142" s="4">
        <f>J141/72329</f>
        <v>0.014724384410125952</v>
      </c>
      <c r="K142" s="4">
        <f>K141/1361</f>
        <v>0.3695811903012491</v>
      </c>
      <c r="L142" s="4">
        <f>L141/1361</f>
        <v>0.3813372520205731</v>
      </c>
      <c r="M142" s="4">
        <f>M141/1361</f>
        <v>0.2490815576781778</v>
      </c>
      <c r="N142" s="4">
        <f>N141/177</f>
        <v>1</v>
      </c>
      <c r="O142" s="4">
        <f>O141/441</f>
        <v>1</v>
      </c>
      <c r="P142" s="4">
        <f>P141/65</f>
        <v>1</v>
      </c>
    </row>
    <row r="143" spans="2:16" ht="10.5" customHeight="1"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0.5" customHeight="1">
      <c r="A144" s="3" t="s">
        <v>103</v>
      </c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0.5" customHeight="1">
      <c r="B145" s="5" t="s">
        <v>71</v>
      </c>
      <c r="C145" s="2">
        <v>1097</v>
      </c>
      <c r="D145" s="2">
        <v>131</v>
      </c>
      <c r="E145" s="2">
        <v>455</v>
      </c>
      <c r="F145" s="2">
        <v>579</v>
      </c>
      <c r="G145" s="2">
        <v>1476</v>
      </c>
      <c r="H145" s="2">
        <v>506</v>
      </c>
      <c r="I145" s="2">
        <v>24</v>
      </c>
      <c r="J145" s="2">
        <v>35</v>
      </c>
      <c r="K145" s="2">
        <v>21</v>
      </c>
      <c r="L145" s="2">
        <v>38</v>
      </c>
      <c r="M145" s="2">
        <v>17</v>
      </c>
      <c r="N145" s="2">
        <v>24</v>
      </c>
      <c r="O145" s="2">
        <v>30</v>
      </c>
      <c r="P145" s="2">
        <v>3</v>
      </c>
    </row>
    <row r="146" spans="2:16" ht="10.5" customHeight="1">
      <c r="B146" s="5" t="s">
        <v>65</v>
      </c>
      <c r="C146" s="2">
        <v>14286</v>
      </c>
      <c r="D146" s="2">
        <v>1741</v>
      </c>
      <c r="E146" s="2">
        <v>5645</v>
      </c>
      <c r="F146" s="2">
        <v>13067</v>
      </c>
      <c r="G146" s="2">
        <v>30866</v>
      </c>
      <c r="H146" s="2">
        <v>9611</v>
      </c>
      <c r="I146" s="2">
        <v>345</v>
      </c>
      <c r="J146" s="2">
        <v>1007</v>
      </c>
      <c r="K146" s="2">
        <v>321</v>
      </c>
      <c r="L146" s="2">
        <v>320</v>
      </c>
      <c r="M146" s="2">
        <v>178</v>
      </c>
      <c r="N146" s="2">
        <v>85</v>
      </c>
      <c r="O146" s="2">
        <v>286</v>
      </c>
      <c r="P146" s="2">
        <v>34</v>
      </c>
    </row>
    <row r="147" spans="2:16" ht="10.5" customHeight="1">
      <c r="B147" s="5" t="s">
        <v>69</v>
      </c>
      <c r="C147" s="2">
        <v>3523</v>
      </c>
      <c r="D147" s="2">
        <v>550</v>
      </c>
      <c r="E147" s="2">
        <v>1496</v>
      </c>
      <c r="F147" s="2">
        <v>1565</v>
      </c>
      <c r="G147" s="2">
        <v>5637</v>
      </c>
      <c r="H147" s="2">
        <v>1315</v>
      </c>
      <c r="I147" s="2">
        <v>72</v>
      </c>
      <c r="J147" s="2">
        <v>178</v>
      </c>
      <c r="K147" s="2">
        <v>148</v>
      </c>
      <c r="L147" s="2">
        <v>174</v>
      </c>
      <c r="M147" s="2">
        <v>78</v>
      </c>
      <c r="N147" s="2">
        <v>32</v>
      </c>
      <c r="O147" s="2">
        <v>97</v>
      </c>
      <c r="P147" s="2">
        <v>15</v>
      </c>
    </row>
    <row r="148" spans="2:16" ht="10.5" customHeight="1">
      <c r="B148" s="5" t="s">
        <v>67</v>
      </c>
      <c r="C148" s="2">
        <v>6949</v>
      </c>
      <c r="D148" s="2">
        <v>786</v>
      </c>
      <c r="E148" s="2">
        <v>2691</v>
      </c>
      <c r="F148" s="2">
        <v>3670</v>
      </c>
      <c r="G148" s="2">
        <v>14676</v>
      </c>
      <c r="H148" s="2">
        <v>4135</v>
      </c>
      <c r="I148" s="2">
        <v>222</v>
      </c>
      <c r="J148" s="2">
        <v>342</v>
      </c>
      <c r="K148" s="2">
        <v>124</v>
      </c>
      <c r="L148" s="2">
        <v>163</v>
      </c>
      <c r="M148" s="2">
        <v>69</v>
      </c>
      <c r="N148" s="2">
        <v>66</v>
      </c>
      <c r="O148" s="2">
        <v>90</v>
      </c>
      <c r="P148" s="2">
        <v>15</v>
      </c>
    </row>
    <row r="149" spans="1:16" ht="10.5" customHeight="1">
      <c r="A149" s="3" t="s">
        <v>76</v>
      </c>
      <c r="C149" s="2">
        <v>25855</v>
      </c>
      <c r="D149" s="2">
        <v>3208</v>
      </c>
      <c r="E149" s="2">
        <v>10287</v>
      </c>
      <c r="F149" s="2">
        <v>18881</v>
      </c>
      <c r="G149" s="2">
        <v>52655</v>
      </c>
      <c r="H149" s="2">
        <v>15567</v>
      </c>
      <c r="I149" s="2">
        <v>663</v>
      </c>
      <c r="J149" s="2">
        <v>1562</v>
      </c>
      <c r="K149" s="2">
        <v>614</v>
      </c>
      <c r="L149" s="2">
        <v>695</v>
      </c>
      <c r="M149" s="2">
        <v>342</v>
      </c>
      <c r="N149" s="2">
        <v>207</v>
      </c>
      <c r="O149" s="2">
        <v>503</v>
      </c>
      <c r="P149" s="2">
        <v>67</v>
      </c>
    </row>
    <row r="150" spans="2:16" s="4" customFormat="1" ht="10.5" customHeight="1">
      <c r="B150" s="6" t="s">
        <v>119</v>
      </c>
      <c r="C150" s="4">
        <f>C149/39350</f>
        <v>0.6570520965692503</v>
      </c>
      <c r="D150" s="4">
        <f>D149/39350</f>
        <v>0.08152477763659466</v>
      </c>
      <c r="E150" s="4">
        <f>E149/39350</f>
        <v>0.261423125794155</v>
      </c>
      <c r="F150" s="4">
        <f>F149/89328</f>
        <v>0.2113670965430772</v>
      </c>
      <c r="G150" s="4">
        <f>G149/89328</f>
        <v>0.5894568332437757</v>
      </c>
      <c r="H150" s="4">
        <f>H149/89328</f>
        <v>0.17426786673831274</v>
      </c>
      <c r="I150" s="4">
        <f>I149/89328</f>
        <v>0.00742208490059108</v>
      </c>
      <c r="J150" s="4">
        <f>J149/89328</f>
        <v>0.017486118574243238</v>
      </c>
      <c r="K150" s="4">
        <f>K149/1651</f>
        <v>0.37189582071471833</v>
      </c>
      <c r="L150" s="4">
        <f>L149/1651</f>
        <v>0.4209569957601454</v>
      </c>
      <c r="M150" s="4">
        <f>M149/1651</f>
        <v>0.20714718352513628</v>
      </c>
      <c r="N150" s="4">
        <f>N149/207</f>
        <v>1</v>
      </c>
      <c r="O150" s="4">
        <f>O149/503</f>
        <v>1</v>
      </c>
      <c r="P150" s="4">
        <f>P149/67</f>
        <v>1</v>
      </c>
    </row>
    <row r="151" spans="2:16" ht="10.5" customHeight="1"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0.5" customHeight="1">
      <c r="A152" s="3" t="s">
        <v>104</v>
      </c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0.5" customHeight="1">
      <c r="B153" s="5" t="s">
        <v>68</v>
      </c>
      <c r="C153" s="2">
        <v>2271</v>
      </c>
      <c r="D153" s="2">
        <v>239</v>
      </c>
      <c r="E153" s="2">
        <v>527</v>
      </c>
      <c r="F153" s="2">
        <v>1446</v>
      </c>
      <c r="G153" s="2">
        <v>4197</v>
      </c>
      <c r="H153" s="2">
        <v>972</v>
      </c>
      <c r="I153" s="2">
        <v>45</v>
      </c>
      <c r="J153" s="2">
        <v>57</v>
      </c>
      <c r="K153" s="2">
        <v>22</v>
      </c>
      <c r="L153" s="2">
        <v>20</v>
      </c>
      <c r="M153" s="2">
        <v>22</v>
      </c>
      <c r="N153" s="2">
        <v>16</v>
      </c>
      <c r="O153" s="2">
        <v>25</v>
      </c>
      <c r="P153" s="2">
        <v>6</v>
      </c>
    </row>
    <row r="154" spans="2:16" ht="10.5" customHeight="1">
      <c r="B154" s="5" t="s">
        <v>64</v>
      </c>
      <c r="C154" s="2">
        <v>25175</v>
      </c>
      <c r="D154" s="2">
        <v>1014</v>
      </c>
      <c r="E154" s="2">
        <v>3499</v>
      </c>
      <c r="F154" s="2">
        <v>4584</v>
      </c>
      <c r="G154" s="2">
        <v>15107</v>
      </c>
      <c r="H154" s="2">
        <v>6342</v>
      </c>
      <c r="I154" s="2">
        <v>299</v>
      </c>
      <c r="J154" s="2">
        <v>449</v>
      </c>
      <c r="K154" s="2">
        <v>106</v>
      </c>
      <c r="L154" s="2">
        <v>124</v>
      </c>
      <c r="M154" s="2">
        <v>97</v>
      </c>
      <c r="N154" s="2">
        <v>263</v>
      </c>
      <c r="O154" s="2">
        <v>225</v>
      </c>
      <c r="P154" s="2">
        <v>34</v>
      </c>
    </row>
    <row r="155" spans="2:16" ht="10.5" customHeight="1">
      <c r="B155" s="5" t="s">
        <v>70</v>
      </c>
      <c r="C155" s="2">
        <v>32741</v>
      </c>
      <c r="D155" s="2">
        <v>2401</v>
      </c>
      <c r="E155" s="2">
        <v>6136</v>
      </c>
      <c r="F155" s="2">
        <v>12805</v>
      </c>
      <c r="G155" s="2">
        <v>37626</v>
      </c>
      <c r="H155" s="2">
        <v>11799</v>
      </c>
      <c r="I155" s="2">
        <v>284</v>
      </c>
      <c r="J155" s="2">
        <v>812</v>
      </c>
      <c r="K155" s="2">
        <v>232</v>
      </c>
      <c r="L155" s="2">
        <v>346</v>
      </c>
      <c r="M155" s="2">
        <v>190</v>
      </c>
      <c r="N155" s="2">
        <v>322</v>
      </c>
      <c r="O155" s="2">
        <v>418</v>
      </c>
      <c r="P155" s="2">
        <v>44</v>
      </c>
    </row>
    <row r="156" spans="1:16" ht="10.5" customHeight="1">
      <c r="A156" s="3" t="s">
        <v>76</v>
      </c>
      <c r="C156" s="2">
        <v>60187</v>
      </c>
      <c r="D156" s="2">
        <v>3654</v>
      </c>
      <c r="E156" s="2">
        <v>10162</v>
      </c>
      <c r="F156" s="2">
        <v>18835</v>
      </c>
      <c r="G156" s="2">
        <v>56930</v>
      </c>
      <c r="H156" s="2">
        <v>19113</v>
      </c>
      <c r="I156" s="2">
        <v>628</v>
      </c>
      <c r="J156" s="2">
        <v>1318</v>
      </c>
      <c r="K156" s="2">
        <v>360</v>
      </c>
      <c r="L156" s="2">
        <v>490</v>
      </c>
      <c r="M156" s="2">
        <v>309</v>
      </c>
      <c r="N156" s="2">
        <v>601</v>
      </c>
      <c r="O156" s="2">
        <v>668</v>
      </c>
      <c r="P156" s="2">
        <v>84</v>
      </c>
    </row>
    <row r="157" spans="2:16" s="4" customFormat="1" ht="10.5" customHeight="1">
      <c r="B157" s="6" t="s">
        <v>119</v>
      </c>
      <c r="C157" s="4">
        <f>C156/74003</f>
        <v>0.8133048660189451</v>
      </c>
      <c r="D157" s="4">
        <f>D156/74003</f>
        <v>0.04937637663337973</v>
      </c>
      <c r="E157" s="4">
        <f>E156/74003</f>
        <v>0.1373187573476751</v>
      </c>
      <c r="F157" s="4">
        <f>F156/96824</f>
        <v>0.1945282161447575</v>
      </c>
      <c r="G157" s="4">
        <f>G156/96824</f>
        <v>0.5879740560191689</v>
      </c>
      <c r="H157" s="4">
        <f>H156/96824</f>
        <v>0.19739940510617202</v>
      </c>
      <c r="I157" s="4">
        <f>I156/96824</f>
        <v>0.006485995207799719</v>
      </c>
      <c r="J157" s="4">
        <f>J156/96824</f>
        <v>0.013612327522101958</v>
      </c>
      <c r="K157" s="4">
        <f>K156/1159</f>
        <v>0.31061259706643657</v>
      </c>
      <c r="L157" s="4">
        <f>L156/1159</f>
        <v>0.4227782571182053</v>
      </c>
      <c r="M157" s="4">
        <f>M156/1159</f>
        <v>0.26660914581535805</v>
      </c>
      <c r="N157" s="4">
        <f>N156/601</f>
        <v>1</v>
      </c>
      <c r="O157" s="4">
        <f>O156/668</f>
        <v>1</v>
      </c>
      <c r="P157" s="4">
        <f>P156/84</f>
        <v>1</v>
      </c>
    </row>
    <row r="158" spans="2:16" ht="10.5" customHeight="1"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0.5" customHeight="1">
      <c r="A159" s="3" t="s">
        <v>105</v>
      </c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0.5" customHeight="1">
      <c r="B160" s="5" t="s">
        <v>68</v>
      </c>
      <c r="C160" s="2">
        <v>23913</v>
      </c>
      <c r="D160" s="2">
        <v>2113</v>
      </c>
      <c r="E160" s="2">
        <v>4563</v>
      </c>
      <c r="F160" s="2">
        <v>3265</v>
      </c>
      <c r="G160" s="2">
        <v>10443</v>
      </c>
      <c r="H160" s="2">
        <v>3294</v>
      </c>
      <c r="I160" s="2">
        <v>344</v>
      </c>
      <c r="J160" s="2">
        <v>605</v>
      </c>
      <c r="K160" s="2">
        <v>167</v>
      </c>
      <c r="L160" s="2">
        <v>194</v>
      </c>
      <c r="M160" s="2">
        <v>176</v>
      </c>
      <c r="N160" s="2">
        <v>184</v>
      </c>
      <c r="O160" s="2">
        <v>165</v>
      </c>
      <c r="P160" s="2">
        <v>57</v>
      </c>
    </row>
    <row r="161" spans="1:16" ht="10.5" customHeight="1">
      <c r="A161" s="3" t="s">
        <v>76</v>
      </c>
      <c r="C161" s="2">
        <v>23913</v>
      </c>
      <c r="D161" s="2">
        <v>2113</v>
      </c>
      <c r="E161" s="2">
        <v>4563</v>
      </c>
      <c r="F161" s="2">
        <v>3265</v>
      </c>
      <c r="G161" s="2">
        <v>10443</v>
      </c>
      <c r="H161" s="2">
        <v>3294</v>
      </c>
      <c r="I161" s="2">
        <v>344</v>
      </c>
      <c r="J161" s="2">
        <v>605</v>
      </c>
      <c r="K161" s="2">
        <v>167</v>
      </c>
      <c r="L161" s="2">
        <v>194</v>
      </c>
      <c r="M161" s="2">
        <v>176</v>
      </c>
      <c r="N161" s="2">
        <v>184</v>
      </c>
      <c r="O161" s="2">
        <v>165</v>
      </c>
      <c r="P161" s="2">
        <v>57</v>
      </c>
    </row>
    <row r="162" spans="2:16" s="4" customFormat="1" ht="10.5" customHeight="1">
      <c r="B162" s="6" t="s">
        <v>119</v>
      </c>
      <c r="C162" s="4">
        <f>C161/30589</f>
        <v>0.7817516100559024</v>
      </c>
      <c r="D162" s="4">
        <f>D161/30589</f>
        <v>0.06907711922586551</v>
      </c>
      <c r="E162" s="4">
        <f>E161/30589</f>
        <v>0.14917127071823205</v>
      </c>
      <c r="F162" s="4">
        <f>F161/17951</f>
        <v>0.18188401760347614</v>
      </c>
      <c r="G162" s="4">
        <f>G161/17951</f>
        <v>0.5817503203164169</v>
      </c>
      <c r="H162" s="4">
        <f>H161/17951</f>
        <v>0.183499526488775</v>
      </c>
      <c r="I162" s="4">
        <f>I161/17951</f>
        <v>0.019163277811821068</v>
      </c>
      <c r="J162" s="4">
        <f>J161/17951</f>
        <v>0.03370285777951089</v>
      </c>
      <c r="K162" s="4">
        <f>K161/537</f>
        <v>0.31098696461824954</v>
      </c>
      <c r="L162" s="4">
        <f>L161/537</f>
        <v>0.3612662942271881</v>
      </c>
      <c r="M162" s="4">
        <f>M161/537</f>
        <v>0.32774674115456237</v>
      </c>
      <c r="N162" s="4">
        <f>N161/184</f>
        <v>1</v>
      </c>
      <c r="O162" s="4">
        <f>O161/165</f>
        <v>1</v>
      </c>
      <c r="P162" s="4">
        <f>P161/57</f>
        <v>1</v>
      </c>
    </row>
    <row r="163" spans="2:16" ht="10.5" customHeight="1"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0.5" customHeight="1">
      <c r="A164" s="3" t="s">
        <v>106</v>
      </c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0.5" customHeight="1">
      <c r="B165" s="5" t="s">
        <v>68</v>
      </c>
      <c r="C165" s="2">
        <v>46896</v>
      </c>
      <c r="D165" s="2">
        <v>2883</v>
      </c>
      <c r="E165" s="2">
        <v>5558</v>
      </c>
      <c r="F165" s="2">
        <v>7019</v>
      </c>
      <c r="G165" s="2">
        <v>24983</v>
      </c>
      <c r="H165" s="2">
        <v>8266</v>
      </c>
      <c r="I165" s="2">
        <v>853</v>
      </c>
      <c r="J165" s="2">
        <v>755</v>
      </c>
      <c r="K165" s="2">
        <v>159</v>
      </c>
      <c r="L165" s="2">
        <v>209</v>
      </c>
      <c r="M165" s="2">
        <v>214</v>
      </c>
      <c r="N165" s="2">
        <v>388</v>
      </c>
      <c r="O165" s="2">
        <v>315</v>
      </c>
      <c r="P165" s="2">
        <v>93</v>
      </c>
    </row>
    <row r="166" spans="1:16" ht="10.5" customHeight="1">
      <c r="A166" s="3" t="s">
        <v>76</v>
      </c>
      <c r="C166" s="2">
        <v>46896</v>
      </c>
      <c r="D166" s="2">
        <v>2883</v>
      </c>
      <c r="E166" s="2">
        <v>5558</v>
      </c>
      <c r="F166" s="2">
        <v>7019</v>
      </c>
      <c r="G166" s="2">
        <v>24983</v>
      </c>
      <c r="H166" s="2">
        <v>8266</v>
      </c>
      <c r="I166" s="2">
        <v>853</v>
      </c>
      <c r="J166" s="2">
        <v>755</v>
      </c>
      <c r="K166" s="2">
        <v>159</v>
      </c>
      <c r="L166" s="2">
        <v>209</v>
      </c>
      <c r="M166" s="2">
        <v>214</v>
      </c>
      <c r="N166" s="2">
        <v>388</v>
      </c>
      <c r="O166" s="2">
        <v>315</v>
      </c>
      <c r="P166" s="2">
        <v>93</v>
      </c>
    </row>
    <row r="167" spans="2:16" s="4" customFormat="1" ht="10.5" customHeight="1">
      <c r="B167" s="6" t="s">
        <v>119</v>
      </c>
      <c r="C167" s="4">
        <f>C166/55337</f>
        <v>0.8474619151742957</v>
      </c>
      <c r="D167" s="4">
        <f>D166/55337</f>
        <v>0.052098957298010375</v>
      </c>
      <c r="E167" s="4">
        <f>E166/55337</f>
        <v>0.10043912752769395</v>
      </c>
      <c r="F167" s="4">
        <f>F166/41876</f>
        <v>0.16761390772757664</v>
      </c>
      <c r="G167" s="4">
        <f>G166/41876</f>
        <v>0.5965947081860732</v>
      </c>
      <c r="H167" s="4">
        <f>H166/41876</f>
        <v>0.19739230107937722</v>
      </c>
      <c r="I167" s="4">
        <f>I166/41876</f>
        <v>0.020369662814022353</v>
      </c>
      <c r="J167" s="4">
        <f>J166/41876</f>
        <v>0.018029420192950615</v>
      </c>
      <c r="K167" s="4">
        <f>K166/582</f>
        <v>0.27319587628865977</v>
      </c>
      <c r="L167" s="4">
        <f>L166/582</f>
        <v>0.359106529209622</v>
      </c>
      <c r="M167" s="4">
        <f>M166/582</f>
        <v>0.36769759450171824</v>
      </c>
      <c r="N167" s="4">
        <f>N166/388</f>
        <v>1</v>
      </c>
      <c r="O167" s="4">
        <f>O166/315</f>
        <v>1</v>
      </c>
      <c r="P167" s="4">
        <f>P166/93</f>
        <v>1</v>
      </c>
    </row>
    <row r="168" spans="2:16" ht="10.5" customHeight="1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0.5" customHeight="1">
      <c r="A169" s="3" t="s">
        <v>107</v>
      </c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0.5" customHeight="1">
      <c r="B170" s="5" t="s">
        <v>68</v>
      </c>
      <c r="C170" s="2">
        <v>24196</v>
      </c>
      <c r="D170" s="2">
        <v>1213</v>
      </c>
      <c r="E170" s="2">
        <v>3667</v>
      </c>
      <c r="F170" s="2">
        <v>1450</v>
      </c>
      <c r="G170" s="2">
        <v>5447</v>
      </c>
      <c r="H170" s="2">
        <v>2167</v>
      </c>
      <c r="I170" s="2">
        <v>172</v>
      </c>
      <c r="J170" s="2">
        <v>490</v>
      </c>
      <c r="K170" s="2">
        <v>86</v>
      </c>
      <c r="L170" s="2">
        <v>73</v>
      </c>
      <c r="M170" s="2">
        <v>107</v>
      </c>
      <c r="N170" s="2">
        <v>202</v>
      </c>
      <c r="O170" s="2">
        <v>104</v>
      </c>
      <c r="P170" s="2">
        <v>85</v>
      </c>
    </row>
    <row r="171" spans="1:16" ht="10.5" customHeight="1">
      <c r="A171" s="3" t="s">
        <v>76</v>
      </c>
      <c r="C171" s="2">
        <v>24196</v>
      </c>
      <c r="D171" s="2">
        <v>1213</v>
      </c>
      <c r="E171" s="2">
        <v>3667</v>
      </c>
      <c r="F171" s="2">
        <v>1450</v>
      </c>
      <c r="G171" s="2">
        <v>5447</v>
      </c>
      <c r="H171" s="2">
        <v>2167</v>
      </c>
      <c r="I171" s="2">
        <v>172</v>
      </c>
      <c r="J171" s="2">
        <v>490</v>
      </c>
      <c r="K171" s="2">
        <v>86</v>
      </c>
      <c r="L171" s="2">
        <v>73</v>
      </c>
      <c r="M171" s="2">
        <v>107</v>
      </c>
      <c r="N171" s="2">
        <v>202</v>
      </c>
      <c r="O171" s="2">
        <v>104</v>
      </c>
      <c r="P171" s="2">
        <v>85</v>
      </c>
    </row>
    <row r="172" spans="2:16" s="4" customFormat="1" ht="10.5" customHeight="1">
      <c r="B172" s="6" t="s">
        <v>119</v>
      </c>
      <c r="C172" s="4">
        <f>C171/29076</f>
        <v>0.8321639840418215</v>
      </c>
      <c r="D172" s="4">
        <f>D171/29076</f>
        <v>0.041718255605998074</v>
      </c>
      <c r="E172" s="4">
        <f>E171/29076</f>
        <v>0.1261177603521805</v>
      </c>
      <c r="F172" s="4">
        <f>F171/9726</f>
        <v>0.14908492699979436</v>
      </c>
      <c r="G172" s="4">
        <f>G171/9726</f>
        <v>0.5600452395640552</v>
      </c>
      <c r="H172" s="4">
        <f>H171/9726</f>
        <v>0.22280485297141683</v>
      </c>
      <c r="I172" s="4">
        <f>I171/9726</f>
        <v>0.017684556857906642</v>
      </c>
      <c r="J172" s="4">
        <f>J171/9726</f>
        <v>0.05038042360682706</v>
      </c>
      <c r="K172" s="4">
        <f>K171/266</f>
        <v>0.3233082706766917</v>
      </c>
      <c r="L172" s="4">
        <f>L171/266</f>
        <v>0.2744360902255639</v>
      </c>
      <c r="M172" s="4">
        <f>M171/266</f>
        <v>0.40225563909774437</v>
      </c>
      <c r="N172" s="4">
        <f>N171/202</f>
        <v>1</v>
      </c>
      <c r="O172" s="4">
        <f>O171/104</f>
        <v>1</v>
      </c>
      <c r="P172" s="4">
        <f>P171/85</f>
        <v>1</v>
      </c>
    </row>
    <row r="173" spans="2:16" ht="10.5" customHeight="1"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0.5" customHeight="1">
      <c r="A174" s="3" t="s">
        <v>108</v>
      </c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0.5" customHeight="1">
      <c r="B175" s="5" t="s">
        <v>68</v>
      </c>
      <c r="C175" s="2">
        <v>53851</v>
      </c>
      <c r="D175" s="2">
        <v>3492</v>
      </c>
      <c r="E175" s="2">
        <v>4705</v>
      </c>
      <c r="F175" s="2">
        <v>5169</v>
      </c>
      <c r="G175" s="2">
        <v>24092</v>
      </c>
      <c r="H175" s="2">
        <v>7858</v>
      </c>
      <c r="I175" s="2">
        <v>470</v>
      </c>
      <c r="J175" s="2">
        <v>489</v>
      </c>
      <c r="K175" s="2">
        <v>153</v>
      </c>
      <c r="L175" s="2">
        <v>152</v>
      </c>
      <c r="M175" s="2">
        <v>191</v>
      </c>
      <c r="N175" s="2">
        <v>332</v>
      </c>
      <c r="O175" s="2">
        <v>295</v>
      </c>
      <c r="P175" s="2">
        <v>64</v>
      </c>
    </row>
    <row r="176" spans="2:16" ht="10.5" customHeight="1">
      <c r="B176" s="5" t="s">
        <v>70</v>
      </c>
      <c r="C176" s="2">
        <v>8188</v>
      </c>
      <c r="D176" s="2">
        <v>487</v>
      </c>
      <c r="E176" s="2">
        <v>1741</v>
      </c>
      <c r="F176" s="2">
        <v>1412</v>
      </c>
      <c r="G176" s="2">
        <v>4176</v>
      </c>
      <c r="H176" s="2">
        <v>1370</v>
      </c>
      <c r="I176" s="2">
        <v>49</v>
      </c>
      <c r="J176" s="2">
        <v>238</v>
      </c>
      <c r="K176" s="2">
        <v>56</v>
      </c>
      <c r="L176" s="2">
        <v>60</v>
      </c>
      <c r="M176" s="2">
        <v>45</v>
      </c>
      <c r="N176" s="2">
        <v>52</v>
      </c>
      <c r="O176" s="2">
        <v>68</v>
      </c>
      <c r="P176" s="2">
        <v>16</v>
      </c>
    </row>
    <row r="177" spans="1:16" ht="10.5" customHeight="1">
      <c r="A177" s="3" t="s">
        <v>76</v>
      </c>
      <c r="C177" s="2">
        <v>62039</v>
      </c>
      <c r="D177" s="2">
        <v>3979</v>
      </c>
      <c r="E177" s="2">
        <v>6446</v>
      </c>
      <c r="F177" s="2">
        <v>6581</v>
      </c>
      <c r="G177" s="2">
        <v>28268</v>
      </c>
      <c r="H177" s="2">
        <v>9228</v>
      </c>
      <c r="I177" s="2">
        <v>519</v>
      </c>
      <c r="J177" s="2">
        <v>727</v>
      </c>
      <c r="K177" s="2">
        <v>209</v>
      </c>
      <c r="L177" s="2">
        <v>212</v>
      </c>
      <c r="M177" s="2">
        <v>236</v>
      </c>
      <c r="N177" s="2">
        <v>384</v>
      </c>
      <c r="O177" s="2">
        <v>363</v>
      </c>
      <c r="P177" s="2">
        <v>80</v>
      </c>
    </row>
    <row r="178" spans="2:16" s="4" customFormat="1" ht="10.5" customHeight="1">
      <c r="B178" s="6" t="s">
        <v>119</v>
      </c>
      <c r="C178" s="4">
        <f>C177/72464</f>
        <v>0.8561354603665269</v>
      </c>
      <c r="D178" s="4">
        <f>D177/72464</f>
        <v>0.05491002428792228</v>
      </c>
      <c r="E178" s="4">
        <f>E177/72464</f>
        <v>0.08895451534555089</v>
      </c>
      <c r="F178" s="4">
        <f>F177/45323</f>
        <v>0.1452022152108201</v>
      </c>
      <c r="G178" s="4">
        <f>G177/45323</f>
        <v>0.6237009906669903</v>
      </c>
      <c r="H178" s="4">
        <f>H177/45323</f>
        <v>0.20360523354588178</v>
      </c>
      <c r="I178" s="4">
        <f>I177/45323</f>
        <v>0.011451139597996603</v>
      </c>
      <c r="J178" s="4">
        <f>J177/45323</f>
        <v>0.016040420978311234</v>
      </c>
      <c r="K178" s="4">
        <f>K177/657</f>
        <v>0.3181126331811263</v>
      </c>
      <c r="L178" s="4">
        <f>L177/657</f>
        <v>0.3226788432267884</v>
      </c>
      <c r="M178" s="4">
        <f>M177/657</f>
        <v>0.3592085235920852</v>
      </c>
      <c r="N178" s="4">
        <f>N177/384</f>
        <v>1</v>
      </c>
      <c r="O178" s="4">
        <f>O177/363</f>
        <v>1</v>
      </c>
      <c r="P178" s="4">
        <f>P177/80</f>
        <v>1</v>
      </c>
    </row>
    <row r="179" spans="2:16" ht="10.5" customHeight="1"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0.5" customHeight="1">
      <c r="A180" s="3" t="s">
        <v>109</v>
      </c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0.5" customHeight="1">
      <c r="B181" s="5" t="s">
        <v>68</v>
      </c>
      <c r="C181" s="2">
        <v>24749</v>
      </c>
      <c r="D181" s="2">
        <v>2024</v>
      </c>
      <c r="E181" s="2">
        <v>5702</v>
      </c>
      <c r="F181" s="2">
        <v>3055</v>
      </c>
      <c r="G181" s="2">
        <v>10292</v>
      </c>
      <c r="H181" s="2">
        <v>3462</v>
      </c>
      <c r="I181" s="2">
        <v>198</v>
      </c>
      <c r="J181" s="2">
        <v>768</v>
      </c>
      <c r="K181" s="2">
        <v>130</v>
      </c>
      <c r="L181" s="2">
        <v>137</v>
      </c>
      <c r="M181" s="2">
        <v>122</v>
      </c>
      <c r="N181" s="2">
        <v>100</v>
      </c>
      <c r="O181" s="2">
        <v>86</v>
      </c>
      <c r="P181" s="2">
        <v>71</v>
      </c>
    </row>
    <row r="182" spans="1:16" ht="10.5" customHeight="1">
      <c r="A182" s="3" t="s">
        <v>76</v>
      </c>
      <c r="C182" s="2">
        <v>24749</v>
      </c>
      <c r="D182" s="2">
        <v>2024</v>
      </c>
      <c r="E182" s="2">
        <v>5702</v>
      </c>
      <c r="F182" s="2">
        <v>3055</v>
      </c>
      <c r="G182" s="2">
        <v>10292</v>
      </c>
      <c r="H182" s="2">
        <v>3462</v>
      </c>
      <c r="I182" s="2">
        <v>198</v>
      </c>
      <c r="J182" s="2">
        <v>768</v>
      </c>
      <c r="K182" s="2">
        <v>130</v>
      </c>
      <c r="L182" s="2">
        <v>137</v>
      </c>
      <c r="M182" s="2">
        <v>122</v>
      </c>
      <c r="N182" s="2">
        <v>100</v>
      </c>
      <c r="O182" s="2">
        <v>86</v>
      </c>
      <c r="P182" s="2">
        <v>71</v>
      </c>
    </row>
    <row r="183" spans="2:16" s="4" customFormat="1" ht="10.5" customHeight="1">
      <c r="B183" s="6" t="s">
        <v>119</v>
      </c>
      <c r="C183" s="4">
        <f>C182/32475</f>
        <v>0.7620939183987683</v>
      </c>
      <c r="D183" s="4">
        <f>D182/32475</f>
        <v>0.062324865280985374</v>
      </c>
      <c r="E183" s="4">
        <f>E182/32475</f>
        <v>0.17558121632024634</v>
      </c>
      <c r="F183" s="4">
        <f>F182/17775</f>
        <v>0.1718706047819972</v>
      </c>
      <c r="G183" s="4">
        <f>G182/17775</f>
        <v>0.57901547116737</v>
      </c>
      <c r="H183" s="4">
        <f>H182/17775</f>
        <v>0.19476793248945148</v>
      </c>
      <c r="I183" s="4">
        <f>I182/17775</f>
        <v>0.011139240506329114</v>
      </c>
      <c r="J183" s="4">
        <f>J182/17775</f>
        <v>0.04320675105485232</v>
      </c>
      <c r="K183" s="4">
        <f>K182/389</f>
        <v>0.3341902313624679</v>
      </c>
      <c r="L183" s="4">
        <f>L182/389</f>
        <v>0.35218508997429304</v>
      </c>
      <c r="M183" s="4">
        <f>M182/389</f>
        <v>0.31362467866323906</v>
      </c>
      <c r="N183" s="4">
        <f>N182/100</f>
        <v>1</v>
      </c>
      <c r="O183" s="4">
        <f>O182/86</f>
        <v>1</v>
      </c>
      <c r="P183" s="4">
        <f>P182/71</f>
        <v>1</v>
      </c>
    </row>
    <row r="184" spans="2:16" ht="10.5" customHeight="1"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0.5" customHeight="1">
      <c r="A185" s="3" t="s">
        <v>110</v>
      </c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0.5" customHeight="1">
      <c r="B186" s="5" t="s">
        <v>68</v>
      </c>
      <c r="C186" s="2">
        <v>42757</v>
      </c>
      <c r="D186" s="2">
        <v>2184</v>
      </c>
      <c r="E186" s="2">
        <v>4509</v>
      </c>
      <c r="F186" s="2">
        <v>4113</v>
      </c>
      <c r="G186" s="2">
        <v>13687</v>
      </c>
      <c r="H186" s="2">
        <v>4341</v>
      </c>
      <c r="I186" s="2">
        <v>256</v>
      </c>
      <c r="J186" s="2">
        <v>516</v>
      </c>
      <c r="K186" s="2">
        <v>163</v>
      </c>
      <c r="L186" s="2">
        <v>134</v>
      </c>
      <c r="M186" s="2">
        <v>123</v>
      </c>
      <c r="N186" s="2">
        <v>133</v>
      </c>
      <c r="O186" s="2">
        <v>145</v>
      </c>
      <c r="P186" s="2">
        <v>60</v>
      </c>
    </row>
    <row r="187" spans="1:16" ht="10.5" customHeight="1">
      <c r="A187" s="3" t="s">
        <v>76</v>
      </c>
      <c r="C187" s="2">
        <v>42757</v>
      </c>
      <c r="D187" s="2">
        <v>2184</v>
      </c>
      <c r="E187" s="2">
        <v>4509</v>
      </c>
      <c r="F187" s="2">
        <v>4113</v>
      </c>
      <c r="G187" s="2">
        <v>13687</v>
      </c>
      <c r="H187" s="2">
        <v>4341</v>
      </c>
      <c r="I187" s="2">
        <v>256</v>
      </c>
      <c r="J187" s="2">
        <v>516</v>
      </c>
      <c r="K187" s="2">
        <v>163</v>
      </c>
      <c r="L187" s="2">
        <v>134</v>
      </c>
      <c r="M187" s="2">
        <v>123</v>
      </c>
      <c r="N187" s="2">
        <v>133</v>
      </c>
      <c r="O187" s="2">
        <v>145</v>
      </c>
      <c r="P187" s="2">
        <v>60</v>
      </c>
    </row>
    <row r="188" spans="2:16" s="4" customFormat="1" ht="10.5" customHeight="1">
      <c r="B188" s="6" t="s">
        <v>119</v>
      </c>
      <c r="C188" s="4">
        <f>C187/49450</f>
        <v>0.8646511627906976</v>
      </c>
      <c r="D188" s="4">
        <f>D187/49450</f>
        <v>0.04416582406471183</v>
      </c>
      <c r="E188" s="4">
        <f>E187/49450</f>
        <v>0.0911830131445905</v>
      </c>
      <c r="F188" s="4">
        <f>F187/22913</f>
        <v>0.17950508444987562</v>
      </c>
      <c r="G188" s="4">
        <f>G187/22913</f>
        <v>0.5973464845284336</v>
      </c>
      <c r="H188" s="4">
        <f>H187/22913</f>
        <v>0.18945576746824946</v>
      </c>
      <c r="I188" s="4">
        <f>I187/22913</f>
        <v>0.011172696722384672</v>
      </c>
      <c r="J188" s="4">
        <f>J187/22913</f>
        <v>0.022519966831056604</v>
      </c>
      <c r="K188" s="4">
        <f>K187/420</f>
        <v>0.3880952380952381</v>
      </c>
      <c r="L188" s="4">
        <f>L187/420</f>
        <v>0.319047619047619</v>
      </c>
      <c r="M188" s="4">
        <f>M187/420</f>
        <v>0.29285714285714287</v>
      </c>
      <c r="N188" s="4">
        <f>N187/133</f>
        <v>1</v>
      </c>
      <c r="O188" s="4">
        <f>O187/145</f>
        <v>1</v>
      </c>
      <c r="P188" s="4">
        <f>P187/60</f>
        <v>1</v>
      </c>
    </row>
    <row r="189" spans="2:16" ht="10.5" customHeight="1"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0.5" customHeight="1">
      <c r="A190" s="3" t="s">
        <v>111</v>
      </c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0.5" customHeight="1">
      <c r="B191" s="5" t="s">
        <v>68</v>
      </c>
      <c r="C191" s="2">
        <v>55579</v>
      </c>
      <c r="D191" s="2">
        <v>2336</v>
      </c>
      <c r="E191" s="2">
        <v>3432</v>
      </c>
      <c r="F191" s="2">
        <v>1859</v>
      </c>
      <c r="G191" s="2">
        <v>6356</v>
      </c>
      <c r="H191" s="2">
        <v>2632</v>
      </c>
      <c r="I191" s="2">
        <v>245</v>
      </c>
      <c r="J191" s="2">
        <v>382</v>
      </c>
      <c r="K191" s="2">
        <v>112</v>
      </c>
      <c r="L191" s="2">
        <v>115</v>
      </c>
      <c r="M191" s="2">
        <v>123</v>
      </c>
      <c r="N191" s="2">
        <v>235</v>
      </c>
      <c r="O191" s="2">
        <v>161</v>
      </c>
      <c r="P191" s="2">
        <v>95</v>
      </c>
    </row>
    <row r="192" spans="1:16" ht="10.5" customHeight="1">
      <c r="A192" s="3" t="s">
        <v>76</v>
      </c>
      <c r="C192" s="2">
        <v>55579</v>
      </c>
      <c r="D192" s="2">
        <v>2336</v>
      </c>
      <c r="E192" s="2">
        <v>3432</v>
      </c>
      <c r="F192" s="2">
        <v>1859</v>
      </c>
      <c r="G192" s="2">
        <v>6356</v>
      </c>
      <c r="H192" s="2">
        <v>2632</v>
      </c>
      <c r="I192" s="2">
        <v>245</v>
      </c>
      <c r="J192" s="2">
        <v>382</v>
      </c>
      <c r="K192" s="2">
        <v>112</v>
      </c>
      <c r="L192" s="2">
        <v>115</v>
      </c>
      <c r="M192" s="2">
        <v>123</v>
      </c>
      <c r="N192" s="2">
        <v>235</v>
      </c>
      <c r="O192" s="2">
        <v>161</v>
      </c>
      <c r="P192" s="2">
        <v>95</v>
      </c>
    </row>
    <row r="193" spans="2:16" s="4" customFormat="1" ht="10.5" customHeight="1">
      <c r="B193" s="6" t="s">
        <v>119</v>
      </c>
      <c r="C193" s="4">
        <f>C192/61347</f>
        <v>0.9059774724110389</v>
      </c>
      <c r="D193" s="4">
        <f>D192/61347</f>
        <v>0.03807847164490521</v>
      </c>
      <c r="E193" s="4">
        <f>E192/61347</f>
        <v>0.055944055944055944</v>
      </c>
      <c r="F193" s="4">
        <f>F192/11474</f>
        <v>0.16201847655569113</v>
      </c>
      <c r="G193" s="4">
        <f>G192/11474</f>
        <v>0.5539480564755098</v>
      </c>
      <c r="H193" s="4">
        <f>H192/11474</f>
        <v>0.22938818197664285</v>
      </c>
      <c r="I193" s="4">
        <f>I192/11474</f>
        <v>0.02135262332229388</v>
      </c>
      <c r="J193" s="4">
        <f>J192/11474</f>
        <v>0.0332926616698623</v>
      </c>
      <c r="K193" s="4">
        <f>K192/350</f>
        <v>0.32</v>
      </c>
      <c r="L193" s="4">
        <f>L192/350</f>
        <v>0.32857142857142857</v>
      </c>
      <c r="M193" s="4">
        <f>M192/350</f>
        <v>0.3514285714285714</v>
      </c>
      <c r="N193" s="4">
        <f>N192/235</f>
        <v>1</v>
      </c>
      <c r="O193" s="4">
        <f>O192/161</f>
        <v>1</v>
      </c>
      <c r="P193" s="4">
        <f>P192/95</f>
        <v>1</v>
      </c>
    </row>
    <row r="194" spans="2:16" ht="10.5" customHeight="1"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0.5" customHeight="1">
      <c r="A195" s="3" t="s">
        <v>112</v>
      </c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0.5" customHeight="1">
      <c r="B196" s="5" t="s">
        <v>68</v>
      </c>
      <c r="C196" s="2">
        <v>31419</v>
      </c>
      <c r="D196" s="2">
        <v>2844</v>
      </c>
      <c r="E196" s="2">
        <v>6502</v>
      </c>
      <c r="F196" s="2">
        <v>5723</v>
      </c>
      <c r="G196" s="2">
        <v>20687</v>
      </c>
      <c r="H196" s="2">
        <v>5934</v>
      </c>
      <c r="I196" s="2">
        <v>373</v>
      </c>
      <c r="J196" s="2">
        <v>686</v>
      </c>
      <c r="K196" s="2">
        <v>180</v>
      </c>
      <c r="L196" s="2">
        <v>190</v>
      </c>
      <c r="M196" s="2">
        <v>197</v>
      </c>
      <c r="N196" s="2">
        <v>262</v>
      </c>
      <c r="O196" s="2">
        <v>219</v>
      </c>
      <c r="P196" s="2">
        <v>57</v>
      </c>
    </row>
    <row r="197" spans="1:16" ht="10.5" customHeight="1">
      <c r="A197" s="3" t="s">
        <v>76</v>
      </c>
      <c r="C197" s="2">
        <v>31419</v>
      </c>
      <c r="D197" s="2">
        <v>2844</v>
      </c>
      <c r="E197" s="2">
        <v>6502</v>
      </c>
      <c r="F197" s="2">
        <v>5723</v>
      </c>
      <c r="G197" s="2">
        <v>20687</v>
      </c>
      <c r="H197" s="2">
        <v>5934</v>
      </c>
      <c r="I197" s="2">
        <v>373</v>
      </c>
      <c r="J197" s="2">
        <v>686</v>
      </c>
      <c r="K197" s="2">
        <v>180</v>
      </c>
      <c r="L197" s="2">
        <v>190</v>
      </c>
      <c r="M197" s="2">
        <v>197</v>
      </c>
      <c r="N197" s="2">
        <v>262</v>
      </c>
      <c r="O197" s="2">
        <v>219</v>
      </c>
      <c r="P197" s="2">
        <v>57</v>
      </c>
    </row>
    <row r="198" spans="2:16" s="4" customFormat="1" ht="10.5" customHeight="1">
      <c r="B198" s="6" t="s">
        <v>119</v>
      </c>
      <c r="C198" s="4">
        <f>C197/40765</f>
        <v>0.7707346988838465</v>
      </c>
      <c r="D198" s="4">
        <f>D197/40765</f>
        <v>0.06976573040598552</v>
      </c>
      <c r="E198" s="4">
        <f>E197/40765</f>
        <v>0.15949957071016804</v>
      </c>
      <c r="F198" s="4">
        <f>F197/33403</f>
        <v>0.17133191629494357</v>
      </c>
      <c r="G198" s="4">
        <f>G197/33403</f>
        <v>0.6193156303326048</v>
      </c>
      <c r="H198" s="4">
        <f>H197/33403</f>
        <v>0.17764871418734846</v>
      </c>
      <c r="I198" s="4">
        <f>I197/33403</f>
        <v>0.011166661677094871</v>
      </c>
      <c r="J198" s="4">
        <f>J197/33403</f>
        <v>0.02053707750800826</v>
      </c>
      <c r="K198" s="4">
        <f>K197/567</f>
        <v>0.31746031746031744</v>
      </c>
      <c r="L198" s="4">
        <f>L197/567</f>
        <v>0.3350970017636684</v>
      </c>
      <c r="M198" s="4">
        <f>M197/567</f>
        <v>0.3474426807760141</v>
      </c>
      <c r="N198" s="4">
        <f>N197/262</f>
        <v>1</v>
      </c>
      <c r="O198" s="4">
        <f>O197/219</f>
        <v>1</v>
      </c>
      <c r="P198" s="4">
        <f>P197/57</f>
        <v>1</v>
      </c>
    </row>
    <row r="199" spans="2:16" ht="10.5" customHeight="1"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0.5" customHeight="1">
      <c r="A200" s="3" t="s">
        <v>113</v>
      </c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0.5" customHeight="1">
      <c r="B201" s="5" t="s">
        <v>68</v>
      </c>
      <c r="C201" s="2">
        <v>51575</v>
      </c>
      <c r="D201" s="2">
        <v>3510</v>
      </c>
      <c r="E201" s="2">
        <v>7614</v>
      </c>
      <c r="F201" s="2">
        <v>8751</v>
      </c>
      <c r="G201" s="2">
        <v>26165</v>
      </c>
      <c r="H201" s="2">
        <v>8131</v>
      </c>
      <c r="I201" s="2">
        <v>506</v>
      </c>
      <c r="J201" s="2">
        <v>739</v>
      </c>
      <c r="K201" s="2">
        <v>211</v>
      </c>
      <c r="L201" s="2">
        <v>261</v>
      </c>
      <c r="M201" s="2">
        <v>233</v>
      </c>
      <c r="N201" s="2">
        <v>372</v>
      </c>
      <c r="O201" s="2">
        <v>375</v>
      </c>
      <c r="P201" s="2">
        <v>94</v>
      </c>
    </row>
    <row r="202" spans="1:16" ht="10.5" customHeight="1">
      <c r="A202" s="3" t="s">
        <v>76</v>
      </c>
      <c r="C202" s="2">
        <v>51575</v>
      </c>
      <c r="D202" s="2">
        <v>3510</v>
      </c>
      <c r="E202" s="2">
        <v>7614</v>
      </c>
      <c r="F202" s="2">
        <v>8751</v>
      </c>
      <c r="G202" s="2">
        <v>26165</v>
      </c>
      <c r="H202" s="2">
        <v>8131</v>
      </c>
      <c r="I202" s="2">
        <v>506</v>
      </c>
      <c r="J202" s="2">
        <v>739</v>
      </c>
      <c r="K202" s="2">
        <v>211</v>
      </c>
      <c r="L202" s="2">
        <v>261</v>
      </c>
      <c r="M202" s="2">
        <v>233</v>
      </c>
      <c r="N202" s="2">
        <v>372</v>
      </c>
      <c r="O202" s="2">
        <v>375</v>
      </c>
      <c r="P202" s="2">
        <v>94</v>
      </c>
    </row>
    <row r="203" spans="2:16" s="4" customFormat="1" ht="10.5" customHeight="1">
      <c r="B203" s="6" t="s">
        <v>119</v>
      </c>
      <c r="C203" s="4">
        <f>C202/62699</f>
        <v>0.822580902406737</v>
      </c>
      <c r="D203" s="4">
        <f>D202/62699</f>
        <v>0.055981754094961644</v>
      </c>
      <c r="E203" s="4">
        <f>E202/62699</f>
        <v>0.1214373434983014</v>
      </c>
      <c r="F203" s="4">
        <f>F202/44292</f>
        <v>0.19757518287726902</v>
      </c>
      <c r="G203" s="4">
        <f>G202/44292</f>
        <v>0.5907387338571299</v>
      </c>
      <c r="H203" s="4">
        <f>H202/44292</f>
        <v>0.1835771696920437</v>
      </c>
      <c r="I203" s="4">
        <f>I202/44292</f>
        <v>0.01142418495439357</v>
      </c>
      <c r="J203" s="4">
        <f>J202/44292</f>
        <v>0.01668472861916373</v>
      </c>
      <c r="K203" s="4">
        <f>K202/705</f>
        <v>0.29929078014184396</v>
      </c>
      <c r="L203" s="4">
        <f>L202/705</f>
        <v>0.3702127659574468</v>
      </c>
      <c r="M203" s="4">
        <f>M202/705</f>
        <v>0.3304964539007092</v>
      </c>
      <c r="N203" s="4">
        <f>N202/372</f>
        <v>1</v>
      </c>
      <c r="O203" s="4">
        <f>O202/375</f>
        <v>1</v>
      </c>
      <c r="P203" s="4">
        <f>P202/94</f>
        <v>1</v>
      </c>
    </row>
    <row r="204" spans="2:16" ht="10.5" customHeight="1"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0.5" customHeight="1">
      <c r="A205" s="3" t="s">
        <v>114</v>
      </c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0.5" customHeight="1">
      <c r="B206" s="5" t="s">
        <v>68</v>
      </c>
      <c r="C206" s="2">
        <v>18310</v>
      </c>
      <c r="D206" s="2">
        <v>1768</v>
      </c>
      <c r="E206" s="2">
        <v>3875</v>
      </c>
      <c r="F206" s="2">
        <v>7096</v>
      </c>
      <c r="G206" s="2">
        <v>23808</v>
      </c>
      <c r="H206" s="2">
        <v>6948</v>
      </c>
      <c r="I206" s="2">
        <v>404</v>
      </c>
      <c r="J206" s="2">
        <v>576</v>
      </c>
      <c r="K206" s="2">
        <v>141</v>
      </c>
      <c r="L206" s="2">
        <v>133</v>
      </c>
      <c r="M206" s="2">
        <v>129</v>
      </c>
      <c r="N206" s="2">
        <v>159</v>
      </c>
      <c r="O206" s="2">
        <v>197</v>
      </c>
      <c r="P206" s="2">
        <v>42</v>
      </c>
    </row>
    <row r="207" spans="2:16" ht="10.5" customHeight="1">
      <c r="B207" s="5" t="s">
        <v>72</v>
      </c>
      <c r="C207" s="2">
        <v>7455</v>
      </c>
      <c r="D207" s="2">
        <v>959</v>
      </c>
      <c r="E207" s="2">
        <v>2262</v>
      </c>
      <c r="F207" s="2">
        <v>7545</v>
      </c>
      <c r="G207" s="2">
        <v>16178</v>
      </c>
      <c r="H207" s="2">
        <v>4243</v>
      </c>
      <c r="I207" s="2">
        <v>194</v>
      </c>
      <c r="J207" s="2">
        <v>412</v>
      </c>
      <c r="K207" s="2">
        <v>111</v>
      </c>
      <c r="L207" s="2">
        <v>112</v>
      </c>
      <c r="M207" s="2">
        <v>79</v>
      </c>
      <c r="N207" s="2">
        <v>49</v>
      </c>
      <c r="O207" s="2">
        <v>136</v>
      </c>
      <c r="P207" s="2">
        <v>18</v>
      </c>
    </row>
    <row r="208" spans="2:16" ht="10.5" customHeight="1">
      <c r="B208" s="5" t="s">
        <v>69</v>
      </c>
      <c r="C208" s="2">
        <v>3689</v>
      </c>
      <c r="D208" s="2">
        <v>488</v>
      </c>
      <c r="E208" s="2">
        <v>1019</v>
      </c>
      <c r="F208" s="2">
        <v>2666</v>
      </c>
      <c r="G208" s="2">
        <v>5651</v>
      </c>
      <c r="H208" s="2">
        <v>1481</v>
      </c>
      <c r="I208" s="2">
        <v>51</v>
      </c>
      <c r="J208" s="2">
        <v>199</v>
      </c>
      <c r="K208" s="2">
        <v>57</v>
      </c>
      <c r="L208" s="2">
        <v>59</v>
      </c>
      <c r="M208" s="2">
        <v>34</v>
      </c>
      <c r="N208" s="2">
        <v>24</v>
      </c>
      <c r="O208" s="2">
        <v>49</v>
      </c>
      <c r="P208" s="2">
        <v>7</v>
      </c>
    </row>
    <row r="209" spans="1:16" ht="10.5" customHeight="1">
      <c r="A209" s="3" t="s">
        <v>76</v>
      </c>
      <c r="C209" s="2">
        <v>29454</v>
      </c>
      <c r="D209" s="2">
        <v>3215</v>
      </c>
      <c r="E209" s="2">
        <v>7156</v>
      </c>
      <c r="F209" s="2">
        <v>17307</v>
      </c>
      <c r="G209" s="2">
        <v>45637</v>
      </c>
      <c r="H209" s="2">
        <v>12672</v>
      </c>
      <c r="I209" s="2">
        <v>649</v>
      </c>
      <c r="J209" s="2">
        <v>1187</v>
      </c>
      <c r="K209" s="2">
        <v>309</v>
      </c>
      <c r="L209" s="2">
        <v>304</v>
      </c>
      <c r="M209" s="2">
        <v>242</v>
      </c>
      <c r="N209" s="2">
        <v>232</v>
      </c>
      <c r="O209" s="2">
        <v>382</v>
      </c>
      <c r="P209" s="2">
        <v>67</v>
      </c>
    </row>
    <row r="210" spans="2:16" s="4" customFormat="1" ht="10.5" customHeight="1">
      <c r="B210" s="6" t="s">
        <v>119</v>
      </c>
      <c r="C210" s="4">
        <f>C209/39825</f>
        <v>0.7395856873822976</v>
      </c>
      <c r="D210" s="4">
        <f>D209/39825</f>
        <v>0.08072818581293158</v>
      </c>
      <c r="E210" s="4">
        <f>E209/39825</f>
        <v>0.17968612680477086</v>
      </c>
      <c r="F210" s="4">
        <f>F209/77452</f>
        <v>0.22345452667458554</v>
      </c>
      <c r="G210" s="4">
        <f>G209/77452</f>
        <v>0.5892294582451066</v>
      </c>
      <c r="H210" s="4">
        <f>H209/77452</f>
        <v>0.16361101069049216</v>
      </c>
      <c r="I210" s="4">
        <f>I209/77452</f>
        <v>0.008379383360016526</v>
      </c>
      <c r="J210" s="4">
        <f>J209/77452</f>
        <v>0.015325621029799102</v>
      </c>
      <c r="K210" s="4">
        <f>K209/855</f>
        <v>0.36140350877192984</v>
      </c>
      <c r="L210" s="4">
        <f>L209/855</f>
        <v>0.35555555555555557</v>
      </c>
      <c r="M210" s="4">
        <f>M209/855</f>
        <v>0.2830409356725146</v>
      </c>
      <c r="N210" s="4">
        <f>N209/232</f>
        <v>1</v>
      </c>
      <c r="O210" s="4">
        <f>O209/382</f>
        <v>1</v>
      </c>
      <c r="P210" s="4">
        <f>P209/67</f>
        <v>1</v>
      </c>
    </row>
    <row r="211" spans="2:16" ht="10.5" customHeight="1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0.5" customHeight="1">
      <c r="A212" s="3" t="s">
        <v>115</v>
      </c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0.5" customHeight="1">
      <c r="B213" s="5" t="s">
        <v>68</v>
      </c>
      <c r="C213" s="2">
        <v>24877</v>
      </c>
      <c r="D213" s="2">
        <v>1866</v>
      </c>
      <c r="E213" s="2">
        <v>6516</v>
      </c>
      <c r="F213" s="2">
        <v>4013</v>
      </c>
      <c r="G213" s="2">
        <v>12705</v>
      </c>
      <c r="H213" s="2">
        <v>3284</v>
      </c>
      <c r="I213" s="2">
        <v>288</v>
      </c>
      <c r="J213" s="2">
        <v>853</v>
      </c>
      <c r="K213" s="2">
        <v>152</v>
      </c>
      <c r="L213" s="2">
        <v>124</v>
      </c>
      <c r="M213" s="2">
        <v>142</v>
      </c>
      <c r="N213" s="2">
        <v>92</v>
      </c>
      <c r="O213" s="2">
        <v>106</v>
      </c>
      <c r="P213" s="2">
        <v>61</v>
      </c>
    </row>
    <row r="214" spans="1:16" ht="10.5" customHeight="1">
      <c r="A214" s="3" t="s">
        <v>76</v>
      </c>
      <c r="C214" s="2">
        <v>24877</v>
      </c>
      <c r="D214" s="2">
        <v>1866</v>
      </c>
      <c r="E214" s="2">
        <v>6516</v>
      </c>
      <c r="F214" s="2">
        <v>4013</v>
      </c>
      <c r="G214" s="2">
        <v>12705</v>
      </c>
      <c r="H214" s="2">
        <v>3284</v>
      </c>
      <c r="I214" s="2">
        <v>288</v>
      </c>
      <c r="J214" s="2">
        <v>853</v>
      </c>
      <c r="K214" s="2">
        <v>152</v>
      </c>
      <c r="L214" s="2">
        <v>124</v>
      </c>
      <c r="M214" s="2">
        <v>142</v>
      </c>
      <c r="N214" s="2">
        <v>92</v>
      </c>
      <c r="O214" s="2">
        <v>106</v>
      </c>
      <c r="P214" s="2">
        <v>61</v>
      </c>
    </row>
    <row r="215" spans="2:16" s="4" customFormat="1" ht="10.5" customHeight="1">
      <c r="B215" s="6" t="s">
        <v>119</v>
      </c>
      <c r="C215" s="4">
        <f>C214/33259</f>
        <v>0.747977990919751</v>
      </c>
      <c r="D215" s="4">
        <f>D214/33259</f>
        <v>0.056105114405123425</v>
      </c>
      <c r="E215" s="4">
        <f>E214/33259</f>
        <v>0.19591689467512552</v>
      </c>
      <c r="F215" s="4">
        <f>F214/21143</f>
        <v>0.18980277160289458</v>
      </c>
      <c r="G215" s="4">
        <f>G214/21143</f>
        <v>0.600908101972284</v>
      </c>
      <c r="H215" s="4">
        <f>H214/21143</f>
        <v>0.15532327484273756</v>
      </c>
      <c r="I215" s="4">
        <f>I214/21143</f>
        <v>0.013621529584259566</v>
      </c>
      <c r="J215" s="4">
        <f>J214/21143</f>
        <v>0.04034432199782434</v>
      </c>
      <c r="K215" s="4">
        <f>K214/418</f>
        <v>0.36363636363636365</v>
      </c>
      <c r="L215" s="4">
        <f>L214/418</f>
        <v>0.2966507177033493</v>
      </c>
      <c r="M215" s="4">
        <f>M214/418</f>
        <v>0.3397129186602871</v>
      </c>
      <c r="N215" s="4">
        <f>N214/92</f>
        <v>1</v>
      </c>
      <c r="O215" s="4">
        <f>O214/106</f>
        <v>1</v>
      </c>
      <c r="P215" s="4">
        <f>P214/61</f>
        <v>1</v>
      </c>
    </row>
    <row r="216" spans="2:16" ht="10.5" customHeight="1"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0.5" customHeight="1">
      <c r="A217" s="3" t="s">
        <v>116</v>
      </c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0.5" customHeight="1">
      <c r="B218" s="5" t="s">
        <v>73</v>
      </c>
      <c r="C218" s="2">
        <v>11710</v>
      </c>
      <c r="D218" s="2">
        <v>1448</v>
      </c>
      <c r="E218" s="2">
        <v>3091</v>
      </c>
      <c r="F218" s="2">
        <v>3939</v>
      </c>
      <c r="G218" s="2">
        <v>12873</v>
      </c>
      <c r="H218" s="2">
        <v>3962</v>
      </c>
      <c r="I218" s="2">
        <v>142</v>
      </c>
      <c r="J218" s="2">
        <v>391</v>
      </c>
      <c r="K218" s="2">
        <v>147</v>
      </c>
      <c r="L218" s="2">
        <v>151</v>
      </c>
      <c r="M218" s="2">
        <v>85</v>
      </c>
      <c r="N218" s="2">
        <v>103</v>
      </c>
      <c r="O218" s="2">
        <v>158</v>
      </c>
      <c r="P218" s="2">
        <v>36</v>
      </c>
    </row>
    <row r="219" spans="2:16" ht="10.5" customHeight="1">
      <c r="B219" s="5" t="s">
        <v>69</v>
      </c>
      <c r="C219" s="2">
        <v>19586</v>
      </c>
      <c r="D219" s="2">
        <v>2659</v>
      </c>
      <c r="E219" s="2">
        <v>5426</v>
      </c>
      <c r="F219" s="2">
        <v>10391</v>
      </c>
      <c r="G219" s="2">
        <v>31073</v>
      </c>
      <c r="H219" s="2">
        <v>8551</v>
      </c>
      <c r="I219" s="2">
        <v>302</v>
      </c>
      <c r="J219" s="2">
        <v>738</v>
      </c>
      <c r="K219" s="2">
        <v>413</v>
      </c>
      <c r="L219" s="2">
        <v>398</v>
      </c>
      <c r="M219" s="2">
        <v>190</v>
      </c>
      <c r="N219" s="2">
        <v>173</v>
      </c>
      <c r="O219" s="2">
        <v>291</v>
      </c>
      <c r="P219" s="2">
        <v>51</v>
      </c>
    </row>
    <row r="220" spans="1:16" ht="10.5" customHeight="1">
      <c r="A220" s="3" t="s">
        <v>76</v>
      </c>
      <c r="C220" s="2">
        <v>31296</v>
      </c>
      <c r="D220" s="2">
        <v>4107</v>
      </c>
      <c r="E220" s="2">
        <v>8517</v>
      </c>
      <c r="F220" s="2">
        <v>14330</v>
      </c>
      <c r="G220" s="2">
        <v>43946</v>
      </c>
      <c r="H220" s="2">
        <v>12513</v>
      </c>
      <c r="I220" s="2">
        <v>444</v>
      </c>
      <c r="J220" s="2">
        <v>1129</v>
      </c>
      <c r="K220" s="2">
        <v>560</v>
      </c>
      <c r="L220" s="2">
        <v>549</v>
      </c>
      <c r="M220" s="2">
        <v>275</v>
      </c>
      <c r="N220" s="2">
        <v>276</v>
      </c>
      <c r="O220" s="2">
        <v>449</v>
      </c>
      <c r="P220" s="2">
        <v>87</v>
      </c>
    </row>
    <row r="221" spans="2:16" s="4" customFormat="1" ht="10.5" customHeight="1">
      <c r="B221" s="6" t="s">
        <v>119</v>
      </c>
      <c r="C221" s="4">
        <f>C220/43920</f>
        <v>0.7125683060109289</v>
      </c>
      <c r="D221" s="4">
        <f>D220/43920</f>
        <v>0.09351092896174863</v>
      </c>
      <c r="E221" s="4">
        <f>E220/43920</f>
        <v>0.19392076502732242</v>
      </c>
      <c r="F221" s="4">
        <f>F220/72362</f>
        <v>0.19803211630413753</v>
      </c>
      <c r="G221" s="4">
        <f>G220/72362</f>
        <v>0.6073077029380062</v>
      </c>
      <c r="H221" s="4">
        <f>H220/72362</f>
        <v>0.17292225201072386</v>
      </c>
      <c r="I221" s="4">
        <f>I220/72362</f>
        <v>0.006135817141593654</v>
      </c>
      <c r="J221" s="4">
        <f>J220/72362</f>
        <v>0.015602111605538819</v>
      </c>
      <c r="K221" s="4">
        <f>K220/1384</f>
        <v>0.4046242774566474</v>
      </c>
      <c r="L221" s="4">
        <f>L220/1384</f>
        <v>0.39667630057803466</v>
      </c>
      <c r="M221" s="4">
        <f>M220/1384</f>
        <v>0.19869942196531792</v>
      </c>
      <c r="N221" s="4">
        <f>N220/276</f>
        <v>1</v>
      </c>
      <c r="O221" s="4">
        <f>O220/449</f>
        <v>1</v>
      </c>
      <c r="P221" s="4">
        <f>P220/87</f>
        <v>1</v>
      </c>
    </row>
    <row r="222" spans="2:16" ht="10.5" customHeight="1"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0.5" customHeight="1">
      <c r="A223" s="3" t="s">
        <v>77</v>
      </c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0.5" customHeight="1">
      <c r="B224" s="5" t="s">
        <v>68</v>
      </c>
      <c r="C224" s="2">
        <v>3808</v>
      </c>
      <c r="D224" s="2">
        <v>297</v>
      </c>
      <c r="E224" s="2">
        <v>765</v>
      </c>
      <c r="F224" s="2">
        <v>610</v>
      </c>
      <c r="G224" s="2">
        <v>1697</v>
      </c>
      <c r="H224" s="2">
        <v>438</v>
      </c>
      <c r="I224" s="2">
        <v>33</v>
      </c>
      <c r="J224" s="2">
        <v>117</v>
      </c>
      <c r="K224" s="2">
        <v>14</v>
      </c>
      <c r="L224" s="2">
        <v>24</v>
      </c>
      <c r="M224" s="2">
        <v>16</v>
      </c>
      <c r="N224" s="2">
        <v>30</v>
      </c>
      <c r="O224" s="2">
        <v>17</v>
      </c>
      <c r="P224" s="2">
        <v>4</v>
      </c>
    </row>
    <row r="225" spans="2:16" ht="10.5" customHeight="1">
      <c r="B225" s="5" t="s">
        <v>69</v>
      </c>
      <c r="C225" s="2">
        <v>17710</v>
      </c>
      <c r="D225" s="2">
        <v>1920</v>
      </c>
      <c r="E225" s="2">
        <v>4306</v>
      </c>
      <c r="F225" s="2">
        <v>4117</v>
      </c>
      <c r="G225" s="2">
        <v>9686</v>
      </c>
      <c r="H225" s="2">
        <v>2845</v>
      </c>
      <c r="I225" s="2">
        <v>130</v>
      </c>
      <c r="J225" s="2">
        <v>719</v>
      </c>
      <c r="K225" s="2">
        <v>177</v>
      </c>
      <c r="L225" s="2">
        <v>178</v>
      </c>
      <c r="M225" s="2">
        <v>146</v>
      </c>
      <c r="N225" s="2">
        <v>77</v>
      </c>
      <c r="O225" s="2">
        <v>127</v>
      </c>
      <c r="P225" s="2">
        <v>37</v>
      </c>
    </row>
    <row r="226" spans="1:16" ht="10.5" customHeight="1">
      <c r="A226" s="3" t="s">
        <v>76</v>
      </c>
      <c r="C226" s="2">
        <v>21518</v>
      </c>
      <c r="D226" s="2">
        <v>2217</v>
      </c>
      <c r="E226" s="2">
        <v>5071</v>
      </c>
      <c r="F226" s="2">
        <v>4727</v>
      </c>
      <c r="G226" s="2">
        <v>11383</v>
      </c>
      <c r="H226" s="2">
        <v>3283</v>
      </c>
      <c r="I226" s="2">
        <v>163</v>
      </c>
      <c r="J226" s="2">
        <v>836</v>
      </c>
      <c r="K226" s="2">
        <v>191</v>
      </c>
      <c r="L226" s="2">
        <v>202</v>
      </c>
      <c r="M226" s="2">
        <v>162</v>
      </c>
      <c r="N226" s="2">
        <v>107</v>
      </c>
      <c r="O226" s="2">
        <v>144</v>
      </c>
      <c r="P226" s="2">
        <v>41</v>
      </c>
    </row>
    <row r="227" spans="2:16" s="4" customFormat="1" ht="10.5" customHeight="1">
      <c r="B227" s="6" t="s">
        <v>119</v>
      </c>
      <c r="C227" s="4">
        <f>C226/28806</f>
        <v>0.7469971533708255</v>
      </c>
      <c r="D227" s="4">
        <f>D226/28806</f>
        <v>0.07696313268069152</v>
      </c>
      <c r="E227" s="4">
        <f>E226/28806</f>
        <v>0.17603971394848295</v>
      </c>
      <c r="F227" s="4">
        <f>F226/20392</f>
        <v>0.23180659081992938</v>
      </c>
      <c r="G227" s="4">
        <f>G226/20392</f>
        <v>0.5582091016084739</v>
      </c>
      <c r="H227" s="4">
        <f>H226/20392</f>
        <v>0.16099450765005885</v>
      </c>
      <c r="I227" s="4">
        <f>I226/20392</f>
        <v>0.0079933307179286</v>
      </c>
      <c r="J227" s="4">
        <f>J226/20392</f>
        <v>0.040996469203609255</v>
      </c>
      <c r="K227" s="4">
        <f>K226/555</f>
        <v>0.3441441441441441</v>
      </c>
      <c r="L227" s="4">
        <f>L226/555</f>
        <v>0.36396396396396397</v>
      </c>
      <c r="M227" s="4">
        <f>M226/555</f>
        <v>0.2918918918918919</v>
      </c>
      <c r="N227" s="4">
        <f>N226/107</f>
        <v>1</v>
      </c>
      <c r="O227" s="4">
        <f>O226/144</f>
        <v>1</v>
      </c>
      <c r="P227" s="4">
        <f>P226/41</f>
        <v>1</v>
      </c>
    </row>
    <row r="228" spans="2:16" ht="10.5" customHeight="1"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0.5" customHeight="1">
      <c r="A229" s="3" t="s">
        <v>78</v>
      </c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0.5" customHeight="1">
      <c r="B230" s="5" t="s">
        <v>72</v>
      </c>
      <c r="C230" s="2">
        <v>33010</v>
      </c>
      <c r="D230" s="2">
        <v>3231</v>
      </c>
      <c r="E230" s="2">
        <v>7467</v>
      </c>
      <c r="F230" s="2">
        <v>30458</v>
      </c>
      <c r="G230" s="2">
        <v>57684</v>
      </c>
      <c r="H230" s="2">
        <v>17277</v>
      </c>
      <c r="I230" s="2">
        <v>611</v>
      </c>
      <c r="J230" s="2">
        <v>1102</v>
      </c>
      <c r="K230" s="2">
        <v>324</v>
      </c>
      <c r="L230" s="2">
        <v>421</v>
      </c>
      <c r="M230" s="2">
        <v>337</v>
      </c>
      <c r="N230" s="2">
        <v>259</v>
      </c>
      <c r="O230" s="2">
        <v>722</v>
      </c>
      <c r="P230" s="2">
        <v>55</v>
      </c>
    </row>
    <row r="231" spans="1:16" ht="10.5" customHeight="1">
      <c r="A231" s="3" t="s">
        <v>76</v>
      </c>
      <c r="C231" s="2">
        <v>33010</v>
      </c>
      <c r="D231" s="2">
        <v>3231</v>
      </c>
      <c r="E231" s="2">
        <v>7467</v>
      </c>
      <c r="F231" s="2">
        <v>30458</v>
      </c>
      <c r="G231" s="2">
        <v>57684</v>
      </c>
      <c r="H231" s="2">
        <v>17277</v>
      </c>
      <c r="I231" s="2">
        <v>611</v>
      </c>
      <c r="J231" s="2">
        <v>1102</v>
      </c>
      <c r="K231" s="2">
        <v>324</v>
      </c>
      <c r="L231" s="2">
        <v>421</v>
      </c>
      <c r="M231" s="2">
        <v>337</v>
      </c>
      <c r="N231" s="2">
        <v>259</v>
      </c>
      <c r="O231" s="2">
        <v>722</v>
      </c>
      <c r="P231" s="2">
        <v>55</v>
      </c>
    </row>
    <row r="232" spans="2:16" s="4" customFormat="1" ht="10.5" customHeight="1">
      <c r="B232" s="6" t="s">
        <v>119</v>
      </c>
      <c r="C232" s="4">
        <f>C231/43708</f>
        <v>0.7552393154571245</v>
      </c>
      <c r="D232" s="4">
        <f>D231/43708</f>
        <v>0.07392239406973551</v>
      </c>
      <c r="E232" s="4">
        <f>E231/43708</f>
        <v>0.17083829047313992</v>
      </c>
      <c r="F232" s="4">
        <f>F231/107132</f>
        <v>0.28430347608557666</v>
      </c>
      <c r="G232" s="4">
        <f>G231/107132</f>
        <v>0.5384385617742597</v>
      </c>
      <c r="H232" s="4">
        <f>H231/107132</f>
        <v>0.16126834185864167</v>
      </c>
      <c r="I232" s="4">
        <f>I231/107132</f>
        <v>0.005703244595452339</v>
      </c>
      <c r="J232" s="4">
        <f>J231/107132</f>
        <v>0.010286375686069521</v>
      </c>
      <c r="K232" s="4">
        <f>K231/1082</f>
        <v>0.29944547134935307</v>
      </c>
      <c r="L232" s="4">
        <f>L231/1082</f>
        <v>0.38909426987060997</v>
      </c>
      <c r="M232" s="4">
        <f>M231/1082</f>
        <v>0.31146025878003697</v>
      </c>
      <c r="N232" s="4">
        <f>N231/259</f>
        <v>1</v>
      </c>
      <c r="O232" s="4">
        <f>O231/722</f>
        <v>1</v>
      </c>
      <c r="P232" s="4">
        <f>P231/55</f>
        <v>1</v>
      </c>
    </row>
    <row r="233" spans="2:16" ht="10.5" customHeight="1"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0.5" customHeight="1">
      <c r="A234" s="3" t="s">
        <v>79</v>
      </c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0.5" customHeight="1">
      <c r="B235" s="5" t="s">
        <v>72</v>
      </c>
      <c r="C235" s="2">
        <v>20316</v>
      </c>
      <c r="D235" s="2">
        <v>2063</v>
      </c>
      <c r="E235" s="2">
        <v>5468</v>
      </c>
      <c r="F235" s="2">
        <v>9032</v>
      </c>
      <c r="G235" s="2">
        <v>13561</v>
      </c>
      <c r="H235" s="2">
        <v>6929</v>
      </c>
      <c r="I235" s="2">
        <v>274</v>
      </c>
      <c r="J235" s="2">
        <v>763</v>
      </c>
      <c r="K235" s="2">
        <v>173</v>
      </c>
      <c r="L235" s="2">
        <v>162</v>
      </c>
      <c r="M235" s="2">
        <v>169</v>
      </c>
      <c r="N235" s="2">
        <v>103</v>
      </c>
      <c r="O235" s="2">
        <v>224</v>
      </c>
      <c r="P235" s="2">
        <v>73</v>
      </c>
    </row>
    <row r="236" spans="1:16" ht="10.5" customHeight="1">
      <c r="A236" s="3" t="s">
        <v>76</v>
      </c>
      <c r="C236" s="2">
        <v>20316</v>
      </c>
      <c r="D236" s="2">
        <v>2063</v>
      </c>
      <c r="E236" s="2">
        <v>5468</v>
      </c>
      <c r="F236" s="2">
        <v>9032</v>
      </c>
      <c r="G236" s="2">
        <v>13561</v>
      </c>
      <c r="H236" s="2">
        <v>6929</v>
      </c>
      <c r="I236" s="2">
        <v>274</v>
      </c>
      <c r="J236" s="2">
        <v>763</v>
      </c>
      <c r="K236" s="2">
        <v>173</v>
      </c>
      <c r="L236" s="2">
        <v>162</v>
      </c>
      <c r="M236" s="2">
        <v>169</v>
      </c>
      <c r="N236" s="2">
        <v>103</v>
      </c>
      <c r="O236" s="2">
        <v>224</v>
      </c>
      <c r="P236" s="2">
        <v>73</v>
      </c>
    </row>
    <row r="237" spans="2:16" s="4" customFormat="1" ht="10.5" customHeight="1">
      <c r="B237" s="6" t="s">
        <v>119</v>
      </c>
      <c r="C237" s="4">
        <f>C236/27847</f>
        <v>0.7295579416095092</v>
      </c>
      <c r="D237" s="4">
        <f>D236/27847</f>
        <v>0.07408338420655726</v>
      </c>
      <c r="E237" s="4">
        <f>E236/27847</f>
        <v>0.19635867418393363</v>
      </c>
      <c r="F237" s="4">
        <f>F236/30559</f>
        <v>0.2955594096665467</v>
      </c>
      <c r="G237" s="4">
        <f>G236/30559</f>
        <v>0.4437645210903498</v>
      </c>
      <c r="H237" s="4">
        <f>H236/30559</f>
        <v>0.22674171275238064</v>
      </c>
      <c r="I237" s="4">
        <f>I236/30559</f>
        <v>0.008966261985012599</v>
      </c>
      <c r="J237" s="4">
        <f>J236/30559</f>
        <v>0.024968094505710265</v>
      </c>
      <c r="K237" s="4">
        <f>K236/504</f>
        <v>0.34325396825396826</v>
      </c>
      <c r="L237" s="4">
        <f>L236/504</f>
        <v>0.32142857142857145</v>
      </c>
      <c r="M237" s="4">
        <f>M236/504</f>
        <v>0.3353174603174603</v>
      </c>
      <c r="N237" s="4">
        <f>N236/103</f>
        <v>1</v>
      </c>
      <c r="O237" s="4">
        <f>O236/224</f>
        <v>1</v>
      </c>
      <c r="P237" s="4">
        <f>P236/73</f>
        <v>1</v>
      </c>
    </row>
    <row r="238" spans="2:16" ht="10.5" customHeight="1"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0.5" customHeight="1">
      <c r="A239" s="3" t="s">
        <v>80</v>
      </c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0.5" customHeight="1">
      <c r="B240" s="5" t="s">
        <v>72</v>
      </c>
      <c r="C240" s="2">
        <v>38432</v>
      </c>
      <c r="D240" s="2">
        <v>3399</v>
      </c>
      <c r="E240" s="2">
        <v>7798</v>
      </c>
      <c r="F240" s="2">
        <v>27762</v>
      </c>
      <c r="G240" s="2">
        <v>55244</v>
      </c>
      <c r="H240" s="2">
        <v>18638</v>
      </c>
      <c r="I240" s="2">
        <v>692</v>
      </c>
      <c r="J240" s="2">
        <v>1091</v>
      </c>
      <c r="K240" s="2">
        <v>368</v>
      </c>
      <c r="L240" s="2">
        <v>442</v>
      </c>
      <c r="M240" s="2">
        <v>324</v>
      </c>
      <c r="N240" s="2">
        <v>300</v>
      </c>
      <c r="O240" s="2">
        <v>736</v>
      </c>
      <c r="P240" s="2">
        <v>66</v>
      </c>
    </row>
    <row r="241" spans="1:16" ht="10.5" customHeight="1">
      <c r="A241" s="3" t="s">
        <v>76</v>
      </c>
      <c r="C241" s="2">
        <v>38432</v>
      </c>
      <c r="D241" s="2">
        <v>3399</v>
      </c>
      <c r="E241" s="2">
        <v>7798</v>
      </c>
      <c r="F241" s="2">
        <v>27762</v>
      </c>
      <c r="G241" s="2">
        <v>55244</v>
      </c>
      <c r="H241" s="2">
        <v>18638</v>
      </c>
      <c r="I241" s="2">
        <v>692</v>
      </c>
      <c r="J241" s="2">
        <v>1091</v>
      </c>
      <c r="K241" s="2">
        <v>368</v>
      </c>
      <c r="L241" s="2">
        <v>442</v>
      </c>
      <c r="M241" s="2">
        <v>324</v>
      </c>
      <c r="N241" s="2">
        <v>300</v>
      </c>
      <c r="O241" s="2">
        <v>736</v>
      </c>
      <c r="P241" s="2">
        <v>66</v>
      </c>
    </row>
    <row r="242" spans="2:16" s="4" customFormat="1" ht="10.5" customHeight="1">
      <c r="B242" s="6" t="s">
        <v>119</v>
      </c>
      <c r="C242" s="4">
        <f>C241/49629</f>
        <v>0.7743859437022709</v>
      </c>
      <c r="D242" s="4">
        <f>D241/49629</f>
        <v>0.06848818231276069</v>
      </c>
      <c r="E242" s="4">
        <f>E241/49629</f>
        <v>0.15712587398496847</v>
      </c>
      <c r="F242" s="4">
        <f>F241/103427</f>
        <v>0.2684212052945556</v>
      </c>
      <c r="G242" s="4">
        <f>G241/103427</f>
        <v>0.5341351871368212</v>
      </c>
      <c r="H242" s="4">
        <f>H241/103427</f>
        <v>0.1802043953706479</v>
      </c>
      <c r="I242" s="4">
        <f>I241/103427</f>
        <v>0.0066907093892310514</v>
      </c>
      <c r="J242" s="4">
        <f>J241/103427</f>
        <v>0.010548502808744331</v>
      </c>
      <c r="K242" s="4">
        <f>K241/1134</f>
        <v>0.32451499118165783</v>
      </c>
      <c r="L242" s="4">
        <f>L241/1134</f>
        <v>0.3897707231040564</v>
      </c>
      <c r="M242" s="4">
        <f>M241/1134</f>
        <v>0.2857142857142857</v>
      </c>
      <c r="N242" s="4">
        <f>N241/300</f>
        <v>1</v>
      </c>
      <c r="O242" s="4">
        <f>O241/736</f>
        <v>1</v>
      </c>
      <c r="P242" s="4">
        <f>P241/66</f>
        <v>1</v>
      </c>
    </row>
    <row r="243" spans="2:16" ht="10.5" customHeight="1"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0.5" customHeight="1">
      <c r="A244" s="3" t="s">
        <v>81</v>
      </c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0.5" customHeight="1">
      <c r="B245" s="5" t="s">
        <v>73</v>
      </c>
      <c r="C245" s="2">
        <v>6199</v>
      </c>
      <c r="D245" s="2">
        <v>816</v>
      </c>
      <c r="E245" s="2">
        <v>1608</v>
      </c>
      <c r="F245" s="2">
        <v>5449</v>
      </c>
      <c r="G245" s="2">
        <v>16256</v>
      </c>
      <c r="H245" s="2">
        <v>3413</v>
      </c>
      <c r="I245" s="2">
        <v>102</v>
      </c>
      <c r="J245" s="2">
        <v>275</v>
      </c>
      <c r="K245" s="2">
        <v>140</v>
      </c>
      <c r="L245" s="2">
        <v>177</v>
      </c>
      <c r="M245" s="2">
        <v>81</v>
      </c>
      <c r="N245" s="2">
        <v>45</v>
      </c>
      <c r="O245" s="2">
        <v>104</v>
      </c>
      <c r="P245" s="2">
        <v>11</v>
      </c>
    </row>
    <row r="246" spans="2:16" ht="10.5" customHeight="1">
      <c r="B246" s="5" t="s">
        <v>74</v>
      </c>
      <c r="C246" s="2">
        <v>31241</v>
      </c>
      <c r="D246" s="2">
        <v>2655</v>
      </c>
      <c r="E246" s="2">
        <v>7615</v>
      </c>
      <c r="F246" s="2">
        <v>21240</v>
      </c>
      <c r="G246" s="2">
        <v>56266</v>
      </c>
      <c r="H246" s="2">
        <v>10818</v>
      </c>
      <c r="I246" s="2">
        <v>467</v>
      </c>
      <c r="J246" s="2">
        <v>1282</v>
      </c>
      <c r="K246" s="2">
        <v>408</v>
      </c>
      <c r="L246" s="2">
        <v>543</v>
      </c>
      <c r="M246" s="2">
        <v>316</v>
      </c>
      <c r="N246" s="2">
        <v>218</v>
      </c>
      <c r="O246" s="2">
        <v>592</v>
      </c>
      <c r="P246" s="2">
        <v>61</v>
      </c>
    </row>
    <row r="247" spans="1:16" ht="10.5" customHeight="1">
      <c r="A247" s="3" t="s">
        <v>76</v>
      </c>
      <c r="C247" s="2">
        <v>37440</v>
      </c>
      <c r="D247" s="2">
        <v>3471</v>
      </c>
      <c r="E247" s="2">
        <v>9223</v>
      </c>
      <c r="F247" s="2">
        <v>26689</v>
      </c>
      <c r="G247" s="2">
        <v>72522</v>
      </c>
      <c r="H247" s="2">
        <v>14231</v>
      </c>
      <c r="I247" s="2">
        <v>569</v>
      </c>
      <c r="J247" s="2">
        <v>1557</v>
      </c>
      <c r="K247" s="2">
        <v>548</v>
      </c>
      <c r="L247" s="2">
        <v>720</v>
      </c>
      <c r="M247" s="2">
        <v>397</v>
      </c>
      <c r="N247" s="2">
        <v>263</v>
      </c>
      <c r="O247" s="2">
        <v>696</v>
      </c>
      <c r="P247" s="2">
        <v>72</v>
      </c>
    </row>
    <row r="248" spans="2:16" s="4" customFormat="1" ht="10.5" customHeight="1">
      <c r="B248" s="6" t="s">
        <v>119</v>
      </c>
      <c r="C248" s="4">
        <f>C247/50134</f>
        <v>0.7467985798061196</v>
      </c>
      <c r="D248" s="4">
        <f>D247/50134</f>
        <v>0.06923445166952567</v>
      </c>
      <c r="E248" s="4">
        <f>E247/50134</f>
        <v>0.18396696852435473</v>
      </c>
      <c r="F248" s="4">
        <f>F247/115568</f>
        <v>0.23093762979371452</v>
      </c>
      <c r="G248" s="4">
        <f>G247/115568</f>
        <v>0.6275266509760488</v>
      </c>
      <c r="H248" s="4">
        <f>H247/115568</f>
        <v>0.1231396234251696</v>
      </c>
      <c r="I248" s="4">
        <f>I247/115568</f>
        <v>0.004923508237574415</v>
      </c>
      <c r="J248" s="4">
        <f>J247/115568</f>
        <v>0.013472587567492731</v>
      </c>
      <c r="K248" s="4">
        <f>K247/1665</f>
        <v>0.3291291291291291</v>
      </c>
      <c r="L248" s="4">
        <f>L247/1665</f>
        <v>0.43243243243243246</v>
      </c>
      <c r="M248" s="4">
        <f>M247/1665</f>
        <v>0.23843843843843843</v>
      </c>
      <c r="N248" s="4">
        <f>N247/263</f>
        <v>1</v>
      </c>
      <c r="O248" s="4">
        <f>O247/696</f>
        <v>1</v>
      </c>
      <c r="P248" s="4">
        <f>P247/72</f>
        <v>1</v>
      </c>
    </row>
    <row r="249" spans="2:16" ht="10.5" customHeight="1"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0.5" customHeight="1">
      <c r="A250" s="3" t="s">
        <v>82</v>
      </c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0.5" customHeight="1">
      <c r="B251" s="5" t="s">
        <v>73</v>
      </c>
      <c r="C251" s="2">
        <v>36246</v>
      </c>
      <c r="D251" s="2">
        <v>3628</v>
      </c>
      <c r="E251" s="2">
        <v>9017</v>
      </c>
      <c r="F251" s="2">
        <v>14212</v>
      </c>
      <c r="G251" s="2">
        <v>51658</v>
      </c>
      <c r="H251" s="2">
        <v>13972</v>
      </c>
      <c r="I251" s="2">
        <v>481</v>
      </c>
      <c r="J251" s="2">
        <v>1228</v>
      </c>
      <c r="K251" s="2">
        <v>507</v>
      </c>
      <c r="L251" s="2">
        <v>625</v>
      </c>
      <c r="M251" s="2">
        <v>333</v>
      </c>
      <c r="N251" s="2">
        <v>169</v>
      </c>
      <c r="O251" s="2">
        <v>433</v>
      </c>
      <c r="P251" s="2">
        <v>69</v>
      </c>
    </row>
    <row r="252" spans="1:16" ht="10.5" customHeight="1">
      <c r="A252" s="3" t="s">
        <v>76</v>
      </c>
      <c r="C252" s="2">
        <v>36246</v>
      </c>
      <c r="D252" s="2">
        <v>3628</v>
      </c>
      <c r="E252" s="2">
        <v>9017</v>
      </c>
      <c r="F252" s="2">
        <v>14212</v>
      </c>
      <c r="G252" s="2">
        <v>51658</v>
      </c>
      <c r="H252" s="2">
        <v>13972</v>
      </c>
      <c r="I252" s="2">
        <v>481</v>
      </c>
      <c r="J252" s="2">
        <v>1228</v>
      </c>
      <c r="K252" s="2">
        <v>507</v>
      </c>
      <c r="L252" s="2">
        <v>625</v>
      </c>
      <c r="M252" s="2">
        <v>333</v>
      </c>
      <c r="N252" s="2">
        <v>169</v>
      </c>
      <c r="O252" s="2">
        <v>433</v>
      </c>
      <c r="P252" s="2">
        <v>69</v>
      </c>
    </row>
    <row r="253" spans="2:16" s="4" customFormat="1" ht="10.5" customHeight="1">
      <c r="B253" s="6" t="s">
        <v>119</v>
      </c>
      <c r="C253" s="4">
        <f>C252/48891</f>
        <v>0.7413634411241333</v>
      </c>
      <c r="D253" s="4">
        <f>D252/48891</f>
        <v>0.07420588656398928</v>
      </c>
      <c r="E253" s="4">
        <f>E252/48891</f>
        <v>0.18443067231187743</v>
      </c>
      <c r="F253" s="4">
        <f>F252/81551</f>
        <v>0.17427131488271144</v>
      </c>
      <c r="G253" s="4">
        <f>G252/81551</f>
        <v>0.6334441024634891</v>
      </c>
      <c r="H253" s="4">
        <f>H252/81551</f>
        <v>0.1713283712032961</v>
      </c>
      <c r="I253" s="4">
        <f>I252/81551</f>
        <v>0.005898149624161568</v>
      </c>
      <c r="J253" s="4">
        <f>J252/81551</f>
        <v>0.015058061826341798</v>
      </c>
      <c r="K253" s="4">
        <f>K252/1465</f>
        <v>0.3460750853242321</v>
      </c>
      <c r="L253" s="4">
        <f>L252/1465</f>
        <v>0.42662116040955633</v>
      </c>
      <c r="M253" s="4">
        <f>M252/1465</f>
        <v>0.2273037542662116</v>
      </c>
      <c r="N253" s="4">
        <f>N252/169</f>
        <v>1</v>
      </c>
      <c r="O253" s="4">
        <f>O252/433</f>
        <v>1</v>
      </c>
      <c r="P253" s="4">
        <f>P252/69</f>
        <v>1</v>
      </c>
    </row>
    <row r="254" spans="2:16" ht="10.5" customHeight="1"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0.5" customHeight="1">
      <c r="A255" s="3" t="s">
        <v>83</v>
      </c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0.5" customHeight="1">
      <c r="B256" s="5" t="s">
        <v>72</v>
      </c>
      <c r="C256" s="2">
        <v>3614</v>
      </c>
      <c r="D256" s="2">
        <v>361</v>
      </c>
      <c r="E256" s="2">
        <v>694</v>
      </c>
      <c r="F256" s="2">
        <v>3607</v>
      </c>
      <c r="G256" s="2">
        <v>7468</v>
      </c>
      <c r="H256" s="2">
        <v>2040</v>
      </c>
      <c r="I256" s="2">
        <v>51</v>
      </c>
      <c r="J256" s="2">
        <v>127</v>
      </c>
      <c r="K256" s="2">
        <v>37</v>
      </c>
      <c r="L256" s="2">
        <v>58</v>
      </c>
      <c r="M256" s="2">
        <v>39</v>
      </c>
      <c r="N256" s="2">
        <v>30</v>
      </c>
      <c r="O256" s="2">
        <v>81</v>
      </c>
      <c r="P256" s="2">
        <v>4</v>
      </c>
    </row>
    <row r="257" spans="2:16" ht="10.5" customHeight="1">
      <c r="B257" s="5" t="s">
        <v>74</v>
      </c>
      <c r="C257" s="2">
        <v>36475</v>
      </c>
      <c r="D257" s="2">
        <v>2440</v>
      </c>
      <c r="E257" s="2">
        <v>6913</v>
      </c>
      <c r="F257" s="2">
        <v>17420</v>
      </c>
      <c r="G257" s="2">
        <v>55353</v>
      </c>
      <c r="H257" s="2">
        <v>11822</v>
      </c>
      <c r="I257" s="2">
        <v>467</v>
      </c>
      <c r="J257" s="2">
        <v>1011</v>
      </c>
      <c r="K257" s="2">
        <v>422</v>
      </c>
      <c r="L257" s="2">
        <v>512</v>
      </c>
      <c r="M257" s="2">
        <v>349</v>
      </c>
      <c r="N257" s="2">
        <v>302</v>
      </c>
      <c r="O257" s="2">
        <v>579</v>
      </c>
      <c r="P257" s="2">
        <v>66</v>
      </c>
    </row>
    <row r="258" spans="1:16" ht="10.5" customHeight="1">
      <c r="A258" s="3" t="s">
        <v>76</v>
      </c>
      <c r="C258" s="2">
        <v>40089</v>
      </c>
      <c r="D258" s="2">
        <v>2801</v>
      </c>
      <c r="E258" s="2">
        <v>7607</v>
      </c>
      <c r="F258" s="2">
        <v>21027</v>
      </c>
      <c r="G258" s="2">
        <v>62821</v>
      </c>
      <c r="H258" s="2">
        <v>13862</v>
      </c>
      <c r="I258" s="2">
        <v>518</v>
      </c>
      <c r="J258" s="2">
        <v>1138</v>
      </c>
      <c r="K258" s="2">
        <v>459</v>
      </c>
      <c r="L258" s="2">
        <v>570</v>
      </c>
      <c r="M258" s="2">
        <v>388</v>
      </c>
      <c r="N258" s="2">
        <v>332</v>
      </c>
      <c r="O258" s="2">
        <v>660</v>
      </c>
      <c r="P258" s="2">
        <v>70</v>
      </c>
    </row>
    <row r="259" spans="2:16" s="4" customFormat="1" ht="10.5" customHeight="1">
      <c r="B259" s="6" t="s">
        <v>119</v>
      </c>
      <c r="C259" s="4">
        <f>C258/50497</f>
        <v>0.793888745866091</v>
      </c>
      <c r="D259" s="4">
        <f>D258/50497</f>
        <v>0.055468641701487215</v>
      </c>
      <c r="E259" s="4">
        <f>E258/50497</f>
        <v>0.15064261243242172</v>
      </c>
      <c r="F259" s="4">
        <f>F258/99366</f>
        <v>0.21161161765593864</v>
      </c>
      <c r="G259" s="4">
        <f>G258/99366</f>
        <v>0.6322182637924441</v>
      </c>
      <c r="H259" s="4">
        <f>H258/99366</f>
        <v>0.13950445826540264</v>
      </c>
      <c r="I259" s="4">
        <f>I258/99366</f>
        <v>0.005213050741702393</v>
      </c>
      <c r="J259" s="4">
        <f>J258/99366</f>
        <v>0.011452609544512207</v>
      </c>
      <c r="K259" s="4">
        <f>K258/1417</f>
        <v>0.323923782639379</v>
      </c>
      <c r="L259" s="4">
        <f>L258/1417</f>
        <v>0.40225829216654907</v>
      </c>
      <c r="M259" s="4">
        <f>M258/1417</f>
        <v>0.273817925194072</v>
      </c>
      <c r="N259" s="4">
        <f>N258/332</f>
        <v>1</v>
      </c>
      <c r="O259" s="4">
        <f>O258/660</f>
        <v>1</v>
      </c>
      <c r="P259" s="4">
        <f>P258/70</f>
        <v>1</v>
      </c>
    </row>
    <row r="260" spans="2:16" ht="10.5" customHeight="1"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0.5" customHeight="1">
      <c r="A261" s="3" t="s">
        <v>84</v>
      </c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0.5" customHeight="1">
      <c r="B262" s="5" t="s">
        <v>74</v>
      </c>
      <c r="C262" s="2">
        <v>58317</v>
      </c>
      <c r="D262" s="2">
        <v>2965</v>
      </c>
      <c r="E262" s="2">
        <v>7566</v>
      </c>
      <c r="F262" s="2">
        <v>11914</v>
      </c>
      <c r="G262" s="2">
        <v>38250</v>
      </c>
      <c r="H262" s="2">
        <v>8649</v>
      </c>
      <c r="I262" s="2">
        <v>444</v>
      </c>
      <c r="J262" s="2">
        <v>1111</v>
      </c>
      <c r="K262" s="2">
        <v>319</v>
      </c>
      <c r="L262" s="2">
        <v>448</v>
      </c>
      <c r="M262" s="2">
        <v>368</v>
      </c>
      <c r="N262" s="2">
        <v>526</v>
      </c>
      <c r="O262" s="2">
        <v>685</v>
      </c>
      <c r="P262" s="2">
        <v>120</v>
      </c>
    </row>
    <row r="263" spans="1:16" ht="10.5" customHeight="1">
      <c r="A263" s="3" t="s">
        <v>76</v>
      </c>
      <c r="C263" s="2">
        <v>58317</v>
      </c>
      <c r="D263" s="2">
        <v>2965</v>
      </c>
      <c r="E263" s="2">
        <v>7566</v>
      </c>
      <c r="F263" s="2">
        <v>11914</v>
      </c>
      <c r="G263" s="2">
        <v>38250</v>
      </c>
      <c r="H263" s="2">
        <v>8649</v>
      </c>
      <c r="I263" s="2">
        <v>444</v>
      </c>
      <c r="J263" s="2">
        <v>1111</v>
      </c>
      <c r="K263" s="2">
        <v>319</v>
      </c>
      <c r="L263" s="2">
        <v>448</v>
      </c>
      <c r="M263" s="2">
        <v>368</v>
      </c>
      <c r="N263" s="2">
        <v>526</v>
      </c>
      <c r="O263" s="2">
        <v>685</v>
      </c>
      <c r="P263" s="2">
        <v>120</v>
      </c>
    </row>
    <row r="264" spans="2:16" s="4" customFormat="1" ht="10.5" customHeight="1">
      <c r="B264" s="6" t="s">
        <v>119</v>
      </c>
      <c r="C264" s="4">
        <f>C263/68848</f>
        <v>0.8470398559144783</v>
      </c>
      <c r="D264" s="4">
        <f>D263/68848</f>
        <v>0.04306588426679061</v>
      </c>
      <c r="E264" s="4">
        <f>E263/68848</f>
        <v>0.10989425981873112</v>
      </c>
      <c r="F264" s="4">
        <f>F263/60368</f>
        <v>0.19735621521335808</v>
      </c>
      <c r="G264" s="4">
        <f>G263/60368</f>
        <v>0.6336138351444474</v>
      </c>
      <c r="H264" s="4">
        <f>H263/60368</f>
        <v>0.14327126954677974</v>
      </c>
      <c r="I264" s="4">
        <f>I263/60368</f>
        <v>0.007354890007951233</v>
      </c>
      <c r="J264" s="4">
        <f>J263/60368</f>
        <v>0.018403790087463557</v>
      </c>
      <c r="K264" s="4">
        <f>K263/1135</f>
        <v>0.28105726872246695</v>
      </c>
      <c r="L264" s="4">
        <f>L263/1135</f>
        <v>0.3947136563876652</v>
      </c>
      <c r="M264" s="4">
        <f>M263/1135</f>
        <v>0.32422907488986785</v>
      </c>
      <c r="N264" s="4">
        <f>N263/526</f>
        <v>1</v>
      </c>
      <c r="O264" s="4">
        <f>O263/685</f>
        <v>1</v>
      </c>
      <c r="P264" s="4">
        <f>P263/120</f>
        <v>1</v>
      </c>
    </row>
    <row r="265" spans="2:16" ht="10.5" customHeight="1"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0.5" customHeight="1">
      <c r="A266" s="3" t="s">
        <v>85</v>
      </c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0.5" customHeight="1">
      <c r="B267" s="5" t="s">
        <v>75</v>
      </c>
      <c r="C267" s="2">
        <v>5143</v>
      </c>
      <c r="D267" s="2">
        <v>502</v>
      </c>
      <c r="E267" s="2">
        <v>2263</v>
      </c>
      <c r="F267" s="2">
        <v>1260</v>
      </c>
      <c r="G267" s="2">
        <v>2488</v>
      </c>
      <c r="H267" s="2">
        <v>1129</v>
      </c>
      <c r="I267" s="2">
        <v>58</v>
      </c>
      <c r="J267" s="2">
        <v>420</v>
      </c>
      <c r="K267" s="2">
        <v>71</v>
      </c>
      <c r="L267" s="2">
        <v>46</v>
      </c>
      <c r="M267" s="2">
        <v>37</v>
      </c>
      <c r="N267" s="2">
        <v>13</v>
      </c>
      <c r="O267" s="2">
        <v>30</v>
      </c>
      <c r="P267" s="2">
        <v>10</v>
      </c>
    </row>
    <row r="268" spans="2:16" ht="10.5" customHeight="1">
      <c r="B268" s="5" t="s">
        <v>73</v>
      </c>
      <c r="C268" s="2">
        <v>6330</v>
      </c>
      <c r="D268" s="2">
        <v>419</v>
      </c>
      <c r="E268" s="2">
        <v>1664</v>
      </c>
      <c r="F268" s="2">
        <v>1567</v>
      </c>
      <c r="G268" s="2">
        <v>4597</v>
      </c>
      <c r="H268" s="2">
        <v>1844</v>
      </c>
      <c r="I268" s="2">
        <v>80</v>
      </c>
      <c r="J268" s="2">
        <v>353</v>
      </c>
      <c r="K268" s="2">
        <v>50</v>
      </c>
      <c r="L268" s="2">
        <v>74</v>
      </c>
      <c r="M268" s="2">
        <v>43</v>
      </c>
      <c r="N268" s="2">
        <v>20</v>
      </c>
      <c r="O268" s="2">
        <v>33</v>
      </c>
      <c r="P268" s="2">
        <v>12</v>
      </c>
    </row>
    <row r="269" spans="2:16" ht="10.5" customHeight="1">
      <c r="B269" s="5" t="s">
        <v>74</v>
      </c>
      <c r="C269" s="2">
        <v>24986</v>
      </c>
      <c r="D269" s="2">
        <v>1590</v>
      </c>
      <c r="E269" s="2">
        <v>6464</v>
      </c>
      <c r="F269" s="2">
        <v>5629</v>
      </c>
      <c r="G269" s="2">
        <v>14710</v>
      </c>
      <c r="H269" s="2">
        <v>3788</v>
      </c>
      <c r="I269" s="2">
        <v>161</v>
      </c>
      <c r="J269" s="2">
        <v>1043</v>
      </c>
      <c r="K269" s="2">
        <v>174</v>
      </c>
      <c r="L269" s="2">
        <v>260</v>
      </c>
      <c r="M269" s="2">
        <v>196</v>
      </c>
      <c r="N269" s="2">
        <v>123</v>
      </c>
      <c r="O269" s="2">
        <v>157</v>
      </c>
      <c r="P269" s="2">
        <v>63</v>
      </c>
    </row>
    <row r="270" spans="1:16" ht="10.5" customHeight="1">
      <c r="A270" s="3" t="s">
        <v>76</v>
      </c>
      <c r="C270" s="2">
        <v>36459</v>
      </c>
      <c r="D270" s="2">
        <v>2511</v>
      </c>
      <c r="E270" s="2">
        <v>10391</v>
      </c>
      <c r="F270" s="2">
        <v>8456</v>
      </c>
      <c r="G270" s="2">
        <v>21795</v>
      </c>
      <c r="H270" s="2">
        <v>6761</v>
      </c>
      <c r="I270" s="2">
        <v>299</v>
      </c>
      <c r="J270" s="2">
        <v>1816</v>
      </c>
      <c r="K270" s="2">
        <v>295</v>
      </c>
      <c r="L270" s="2">
        <v>380</v>
      </c>
      <c r="M270" s="2">
        <v>276</v>
      </c>
      <c r="N270" s="2">
        <v>156</v>
      </c>
      <c r="O270" s="2">
        <v>220</v>
      </c>
      <c r="P270" s="2">
        <v>85</v>
      </c>
    </row>
    <row r="271" spans="2:16" s="4" customFormat="1" ht="10.5" customHeight="1">
      <c r="B271" s="6" t="s">
        <v>119</v>
      </c>
      <c r="C271" s="4">
        <f>C270/49361</f>
        <v>0.7386195579506087</v>
      </c>
      <c r="D271" s="4">
        <f>D270/49361</f>
        <v>0.05087012013532951</v>
      </c>
      <c r="E271" s="4">
        <f>E270/49361</f>
        <v>0.21051032191406172</v>
      </c>
      <c r="F271" s="4">
        <f>F270/39127</f>
        <v>0.21611674802566003</v>
      </c>
      <c r="G271" s="4">
        <f>G270/39127</f>
        <v>0.5570322283844915</v>
      </c>
      <c r="H271" s="4">
        <f>H270/39127</f>
        <v>0.17279627878447107</v>
      </c>
      <c r="I271" s="4">
        <f>I270/39127</f>
        <v>0.007641781889743655</v>
      </c>
      <c r="J271" s="4">
        <f>J270/39127</f>
        <v>0.0464129629156337</v>
      </c>
      <c r="K271" s="4">
        <f>K270/951</f>
        <v>0.31019978969505785</v>
      </c>
      <c r="L271" s="4">
        <f>L270/951</f>
        <v>0.39957939011566773</v>
      </c>
      <c r="M271" s="4">
        <f>M270/951</f>
        <v>0.2902208201892745</v>
      </c>
      <c r="N271" s="4">
        <f>N270/156</f>
        <v>1</v>
      </c>
      <c r="O271" s="4">
        <f>O270/220</f>
        <v>1</v>
      </c>
      <c r="P271" s="4">
        <f>P270/85</f>
        <v>1</v>
      </c>
    </row>
    <row r="272" spans="2:16" ht="10.5" customHeight="1"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0.5" customHeight="1"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ht="10.5" customHeight="1"/>
  </sheetData>
  <printOptions/>
  <pageMargins left="0.8999999999999999" right="0.8999999999999999" top="1" bottom="0.8" header="0.3" footer="0.3"/>
  <pageSetup firstPageNumber="271" useFirstPageNumber="1" fitToHeight="0" fitToWidth="0" horizontalDpi="600" verticalDpi="600" orientation="portrait" scale="95" r:id="rId1"/>
  <headerFooter alignWithMargins="0">
    <oddHeader>&amp;C&amp;"Arial,Bold"&amp;11Supplement to the Statement of Vote
Counties by Senate Districts for United States Senator</oddHeader>
    <oddFooter>&amp;C&amp;"Arial,Bold"&amp;8&amp;P</oddFooter>
  </headerFooter>
  <rowBreaks count="4" manualBreakCount="4">
    <brk id="64" max="15" man="1"/>
    <brk id="127" max="15" man="1"/>
    <brk id="189" max="15" man="1"/>
    <brk id="2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2013-04-17T18:45:02Z</cp:lastPrinted>
  <dcterms:created xsi:type="dcterms:W3CDTF">2010-11-07T20:14:50Z</dcterms:created>
  <dcterms:modified xsi:type="dcterms:W3CDTF">2013-04-17T18:45:03Z</dcterms:modified>
  <cp:category/>
  <cp:version/>
  <cp:contentType/>
  <cp:contentStatus/>
</cp:coreProperties>
</file>