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Sheet 1" sheetId="1" r:id="rId1"/>
  </sheets>
  <definedNames>
    <definedName name="_xlnm.Print_Area" localSheetId="0">'Sheet 1'!$A$1:$Q$481</definedName>
    <definedName name="_xlnm.Print_Titles" localSheetId="0">'Sheet 1'!$A:$B,'Sheet 1'!$1:$2</definedName>
  </definedNames>
  <calcPr fullCalcOnLoad="1"/>
</workbook>
</file>

<file path=xl/sharedStrings.xml><?xml version="1.0" encoding="utf-8"?>
<sst xmlns="http://schemas.openxmlformats.org/spreadsheetml/2006/main" count="428" uniqueCount="161">
  <si>
    <t>Charles "Chuck" Pineda, Jr.</t>
  </si>
  <si>
    <t>Gray Davis</t>
  </si>
  <si>
    <t>Anselmo A. Chavez</t>
  </si>
  <si>
    <t>Mosemarie Boyd</t>
  </si>
  <si>
    <t>Bill Jones</t>
  </si>
  <si>
    <t>Danney Ball</t>
  </si>
  <si>
    <t>Richard J. Riordan</t>
  </si>
  <si>
    <t>Bill Simon</t>
  </si>
  <si>
    <t>Nick Jesson</t>
  </si>
  <si>
    <t>Jim Dimov</t>
  </si>
  <si>
    <t>Edie Bukewihge</t>
  </si>
  <si>
    <t>Reinhold Gulke</t>
  </si>
  <si>
    <t>Peter Miguel Camejo</t>
  </si>
  <si>
    <t>Gary David Copeland</t>
  </si>
  <si>
    <t>Iris Adam</t>
  </si>
  <si>
    <t>DEM</t>
  </si>
  <si>
    <t>REP</t>
  </si>
  <si>
    <t>AI</t>
  </si>
  <si>
    <t>GRN</t>
  </si>
  <si>
    <t>LIB</t>
  </si>
  <si>
    <t>NL</t>
  </si>
  <si>
    <t>Del Norte</t>
  </si>
  <si>
    <t>Humboldt</t>
  </si>
  <si>
    <t>Lake</t>
  </si>
  <si>
    <t>Mendocino</t>
  </si>
  <si>
    <t>Sonoma</t>
  </si>
  <si>
    <t>Trinity</t>
  </si>
  <si>
    <t>State Assembly District 1</t>
  </si>
  <si>
    <t>District Totals</t>
  </si>
  <si>
    <t>Butte</t>
  </si>
  <si>
    <t>Colusa</t>
  </si>
  <si>
    <t>Glenn</t>
  </si>
  <si>
    <t>Modoc</t>
  </si>
  <si>
    <t>Shasta</t>
  </si>
  <si>
    <t>Siskiyou</t>
  </si>
  <si>
    <t>Sutter</t>
  </si>
  <si>
    <t>Tehama</t>
  </si>
  <si>
    <t>Yolo</t>
  </si>
  <si>
    <t>State Assembly District 2</t>
  </si>
  <si>
    <t>Lassen</t>
  </si>
  <si>
    <t>Nevada</t>
  </si>
  <si>
    <t>Placer</t>
  </si>
  <si>
    <t>Plumas</t>
  </si>
  <si>
    <t>Sierra</t>
  </si>
  <si>
    <t>Yuba</t>
  </si>
  <si>
    <t>State Assembly District 3</t>
  </si>
  <si>
    <t>Alpine</t>
  </si>
  <si>
    <t>El Dorado</t>
  </si>
  <si>
    <t>Sacramento</t>
  </si>
  <si>
    <t>State Assembly District 4</t>
  </si>
  <si>
    <t>State Assembly District 5</t>
  </si>
  <si>
    <t>Marin</t>
  </si>
  <si>
    <t>State Assembly District 6</t>
  </si>
  <si>
    <t>Napa</t>
  </si>
  <si>
    <t>Solano</t>
  </si>
  <si>
    <t>State Assembly District 7</t>
  </si>
  <si>
    <t>State Assembly District 8</t>
  </si>
  <si>
    <t>State Assembly District 9</t>
  </si>
  <si>
    <t>Amador</t>
  </si>
  <si>
    <t>San Joaquin</t>
  </si>
  <si>
    <t>State Assembly District 10</t>
  </si>
  <si>
    <t>Contra Costa</t>
  </si>
  <si>
    <t>State Assembly District 11</t>
  </si>
  <si>
    <t>San Francisco</t>
  </si>
  <si>
    <t>San Mateo</t>
  </si>
  <si>
    <t>State Assembly District 12</t>
  </si>
  <si>
    <t>State Assembly District 13</t>
  </si>
  <si>
    <t>Alameda</t>
  </si>
  <si>
    <t>State Assembly District 14</t>
  </si>
  <si>
    <t>State Assembly District 15</t>
  </si>
  <si>
    <t>State Assembly District 16</t>
  </si>
  <si>
    <t>Merced</t>
  </si>
  <si>
    <t>Stanislaus</t>
  </si>
  <si>
    <t>State Assembly District 17</t>
  </si>
  <si>
    <t>State Assembly District 18</t>
  </si>
  <si>
    <t>State Assembly District 19</t>
  </si>
  <si>
    <t>Santa Clara</t>
  </si>
  <si>
    <t>State Assembly District 20</t>
  </si>
  <si>
    <t>State Assembly District 21</t>
  </si>
  <si>
    <t>State Assembly District 22</t>
  </si>
  <si>
    <t>State Assembly District 23</t>
  </si>
  <si>
    <t>State Assembly District 24</t>
  </si>
  <si>
    <t>Calaveras</t>
  </si>
  <si>
    <t>Madera</t>
  </si>
  <si>
    <t>Mariposa</t>
  </si>
  <si>
    <t>Mono</t>
  </si>
  <si>
    <t>Tuolumne</t>
  </si>
  <si>
    <t>State Assembly District 25</t>
  </si>
  <si>
    <t>State Assembly District 26</t>
  </si>
  <si>
    <t>Monterey</t>
  </si>
  <si>
    <t>Santa Cruz</t>
  </si>
  <si>
    <t>State Assembly District 27</t>
  </si>
  <si>
    <t>San Benito</t>
  </si>
  <si>
    <t>State Assembly District 28</t>
  </si>
  <si>
    <t>Fresno</t>
  </si>
  <si>
    <t>Tulare</t>
  </si>
  <si>
    <t>State Assembly District 29</t>
  </si>
  <si>
    <t>Kern</t>
  </si>
  <si>
    <t>Kings</t>
  </si>
  <si>
    <t>State Assembly District 30</t>
  </si>
  <si>
    <t>State Assembly District 31</t>
  </si>
  <si>
    <t>San Bernardino</t>
  </si>
  <si>
    <t>State Assembly District 32</t>
  </si>
  <si>
    <t>San Luis Obispo</t>
  </si>
  <si>
    <t>Santa Barbara</t>
  </si>
  <si>
    <t>State Assembly District 33</t>
  </si>
  <si>
    <t>Inyo</t>
  </si>
  <si>
    <t>State Assembly District 34</t>
  </si>
  <si>
    <t>Ventura</t>
  </si>
  <si>
    <t>State Assembly District 35</t>
  </si>
  <si>
    <t>Los Angeles</t>
  </si>
  <si>
    <t>State Assembly District 36</t>
  </si>
  <si>
    <t>State Assembly District 37</t>
  </si>
  <si>
    <t>State Assembly District 38</t>
  </si>
  <si>
    <t>State Assembly District 39</t>
  </si>
  <si>
    <t>State Assembly District 40</t>
  </si>
  <si>
    <t>State Assembly District 41</t>
  </si>
  <si>
    <t>State Assembly District 42</t>
  </si>
  <si>
    <t>State Assembly District 43</t>
  </si>
  <si>
    <t>State Assembly District 44</t>
  </si>
  <si>
    <t>State Assembly District 45</t>
  </si>
  <si>
    <t>State Assembly District 46</t>
  </si>
  <si>
    <t>State Assembly District 47</t>
  </si>
  <si>
    <t>State Assembly District 48</t>
  </si>
  <si>
    <t>State Assembly District 49</t>
  </si>
  <si>
    <t>State Assembly District 50</t>
  </si>
  <si>
    <t>State Assembly District 51</t>
  </si>
  <si>
    <t>State Assembly District 52</t>
  </si>
  <si>
    <t>State Assembly District 53</t>
  </si>
  <si>
    <t>State Assembly District 54</t>
  </si>
  <si>
    <t>State Assembly District 55</t>
  </si>
  <si>
    <t>Orange</t>
  </si>
  <si>
    <t>State Assembly District 56</t>
  </si>
  <si>
    <t>State Assembly District 57</t>
  </si>
  <si>
    <t>State Assembly District 58</t>
  </si>
  <si>
    <t>State Assembly District 59</t>
  </si>
  <si>
    <t>State Assembly District 60</t>
  </si>
  <si>
    <t>State Assembly District 61</t>
  </si>
  <si>
    <t>State Assembly District 62</t>
  </si>
  <si>
    <t>Riverside</t>
  </si>
  <si>
    <t>State Assembly District 63</t>
  </si>
  <si>
    <t>State Assembly District 64</t>
  </si>
  <si>
    <t>State Assembly District 65</t>
  </si>
  <si>
    <t>San Diego</t>
  </si>
  <si>
    <t>State Assembly District 66</t>
  </si>
  <si>
    <t>State Assembly District 67</t>
  </si>
  <si>
    <t>State Assembly District 68</t>
  </si>
  <si>
    <t>State Assembly District 69</t>
  </si>
  <si>
    <t>State Assembly District 70</t>
  </si>
  <si>
    <t>State Assembly District 71</t>
  </si>
  <si>
    <t>State Assembly District 72</t>
  </si>
  <si>
    <t>State Assembly District 73</t>
  </si>
  <si>
    <t>State Assembly District 74</t>
  </si>
  <si>
    <t>State Assembly District 75</t>
  </si>
  <si>
    <t>State Assembly District 76</t>
  </si>
  <si>
    <t>State Assembly District 77</t>
  </si>
  <si>
    <t>State Assembly District 78</t>
  </si>
  <si>
    <t>State Assembly District 79</t>
  </si>
  <si>
    <t>Imperial</t>
  </si>
  <si>
    <t>State Assembly District 80</t>
  </si>
  <si>
    <t>Percent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</si>
</sst>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6">
    <font>
      <sz val="10"/>
      <color indexed="8"/>
      <name val="MS Sans Serif"/>
      <family val="0"/>
    </font>
    <font>
      <sz val="9"/>
      <color indexed="8"/>
      <name val="Times New Roman"/>
      <family val="0"/>
    </font>
    <font>
      <sz val="8.05"/>
      <color indexed="8"/>
      <name val="Arial"/>
      <family val="0"/>
    </font>
    <font>
      <b/>
      <sz val="8.05"/>
      <color indexed="8"/>
      <name val="Arial"/>
      <family val="0"/>
    </font>
    <font>
      <sz val="7.5"/>
      <color indexed="8"/>
      <name val="Arial"/>
      <family val="2"/>
    </font>
    <font>
      <b/>
      <sz val="7.5"/>
      <color indexed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6">
    <xf numFmtId="0" fontId="0" fillId="0" borderId="0" xfId="0" applyNumberForma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0" xfId="0" applyFont="1" applyAlignment="1">
      <alignment vertical="center"/>
    </xf>
    <xf numFmtId="3" fontId="4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NumberFormat="1" applyFont="1" applyFill="1" applyBorder="1" applyAlignment="1" applyProtection="1">
      <alignment/>
      <protection/>
    </xf>
    <xf numFmtId="164" fontId="4" fillId="0" borderId="0" xfId="0" applyNumberFormat="1" applyFont="1" applyFill="1" applyBorder="1" applyAlignment="1" applyProtection="1">
      <alignment/>
      <protection/>
    </xf>
    <xf numFmtId="164" fontId="4" fillId="0" borderId="0" xfId="0" applyNumberFormat="1" applyFont="1" applyAlignment="1">
      <alignment vertical="center"/>
    </xf>
    <xf numFmtId="0" fontId="4" fillId="0" borderId="0" xfId="0" applyNumberFormat="1" applyFont="1" applyFill="1" applyBorder="1" applyAlignment="1" applyProtection="1">
      <alignment wrapText="1"/>
      <protection/>
    </xf>
    <xf numFmtId="0" fontId="4" fillId="0" borderId="0" xfId="0" applyFont="1" applyAlignment="1">
      <alignment vertical="center" wrapText="1"/>
    </xf>
    <xf numFmtId="164" fontId="5" fillId="0" borderId="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 wrapText="1"/>
      <protection/>
    </xf>
    <xf numFmtId="0" fontId="4" fillId="0" borderId="0" xfId="0" applyNumberFormat="1" applyFont="1" applyFill="1" applyBorder="1" applyAlignment="1" applyProtection="1">
      <alignment horizontal="right" wrapText="1"/>
      <protection/>
    </xf>
    <xf numFmtId="0" fontId="4" fillId="0" borderId="0" xfId="0" applyFont="1" applyAlignment="1">
      <alignment horizontal="right" vertical="center" wrapText="1"/>
    </xf>
    <xf numFmtId="0" fontId="4" fillId="0" borderId="1" xfId="0" applyNumberFormat="1" applyFont="1" applyFill="1" applyBorder="1" applyAlignment="1" applyProtection="1">
      <alignment horizontal="right" wrapText="1"/>
      <protection/>
    </xf>
    <xf numFmtId="0" fontId="4" fillId="0" borderId="1" xfId="0" applyFont="1" applyBorder="1" applyAlignment="1">
      <alignment horizontal="righ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81"/>
  <sheetViews>
    <sheetView tabSelected="1" workbookViewId="0" topLeftCell="A1">
      <selection activeCell="AA27" sqref="Z27:AA27"/>
    </sheetView>
  </sheetViews>
  <sheetFormatPr defaultColWidth="9.140625" defaultRowHeight="12.75"/>
  <cols>
    <col min="1" max="1" width="2.7109375" style="1" customWidth="1"/>
    <col min="2" max="2" width="20.7109375" style="8" customWidth="1"/>
    <col min="3" max="16384" width="7.7109375" style="1" customWidth="1"/>
  </cols>
  <sheetData>
    <row r="1" spans="3:17" s="12" customFormat="1" ht="27">
      <c r="C1" s="13" t="s">
        <v>0</v>
      </c>
      <c r="D1" s="13" t="s">
        <v>1</v>
      </c>
      <c r="E1" s="13" t="s">
        <v>2</v>
      </c>
      <c r="F1" s="13" t="s">
        <v>3</v>
      </c>
      <c r="G1" s="13" t="s">
        <v>4</v>
      </c>
      <c r="H1" s="13" t="s">
        <v>5</v>
      </c>
      <c r="I1" s="13" t="s">
        <v>6</v>
      </c>
      <c r="J1" s="13" t="s">
        <v>7</v>
      </c>
      <c r="K1" s="13" t="s">
        <v>8</v>
      </c>
      <c r="L1" s="13" t="s">
        <v>9</v>
      </c>
      <c r="M1" s="13" t="s">
        <v>10</v>
      </c>
      <c r="N1" s="13" t="s">
        <v>11</v>
      </c>
      <c r="O1" s="13" t="s">
        <v>12</v>
      </c>
      <c r="P1" s="13" t="s">
        <v>13</v>
      </c>
      <c r="Q1" s="13" t="s">
        <v>14</v>
      </c>
    </row>
    <row r="2" spans="3:17" s="14" customFormat="1" ht="9">
      <c r="C2" s="15" t="s">
        <v>15</v>
      </c>
      <c r="D2" s="15" t="s">
        <v>15</v>
      </c>
      <c r="E2" s="15" t="s">
        <v>15</v>
      </c>
      <c r="F2" s="15" t="s">
        <v>15</v>
      </c>
      <c r="G2" s="15" t="s">
        <v>16</v>
      </c>
      <c r="H2" s="15" t="s">
        <v>16</v>
      </c>
      <c r="I2" s="15" t="s">
        <v>16</v>
      </c>
      <c r="J2" s="15" t="s">
        <v>16</v>
      </c>
      <c r="K2" s="15" t="s">
        <v>16</v>
      </c>
      <c r="L2" s="15" t="s">
        <v>16</v>
      </c>
      <c r="M2" s="15" t="s">
        <v>16</v>
      </c>
      <c r="N2" s="15" t="s">
        <v>17</v>
      </c>
      <c r="O2" s="15" t="s">
        <v>18</v>
      </c>
      <c r="P2" s="15" t="s">
        <v>19</v>
      </c>
      <c r="Q2" s="15" t="s">
        <v>20</v>
      </c>
    </row>
    <row r="3" spans="1:17" ht="9">
      <c r="A3" s="5" t="s">
        <v>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2:17" ht="9">
      <c r="B4" s="9" t="s">
        <v>21</v>
      </c>
      <c r="C4" s="3">
        <v>204</v>
      </c>
      <c r="D4" s="3">
        <v>1594</v>
      </c>
      <c r="E4" s="3">
        <v>272</v>
      </c>
      <c r="F4" s="3">
        <v>150</v>
      </c>
      <c r="G4" s="3">
        <v>613</v>
      </c>
      <c r="H4" s="3">
        <v>46</v>
      </c>
      <c r="I4" s="3">
        <v>437</v>
      </c>
      <c r="J4" s="3">
        <v>1274</v>
      </c>
      <c r="K4" s="3">
        <v>58</v>
      </c>
      <c r="L4" s="3">
        <v>16</v>
      </c>
      <c r="M4" s="3">
        <v>48</v>
      </c>
      <c r="N4" s="3">
        <v>61</v>
      </c>
      <c r="O4" s="3">
        <v>25</v>
      </c>
      <c r="P4" s="3">
        <v>30</v>
      </c>
      <c r="Q4" s="3">
        <v>6</v>
      </c>
    </row>
    <row r="5" spans="2:17" ht="9">
      <c r="B5" s="9" t="s">
        <v>22</v>
      </c>
      <c r="C5" s="3">
        <v>982</v>
      </c>
      <c r="D5" s="3">
        <v>11122</v>
      </c>
      <c r="E5" s="3">
        <v>1417</v>
      </c>
      <c r="F5" s="3">
        <v>587</v>
      </c>
      <c r="G5" s="3">
        <v>1936</v>
      </c>
      <c r="H5" s="3">
        <v>122</v>
      </c>
      <c r="I5" s="3">
        <v>2590</v>
      </c>
      <c r="J5" s="3">
        <v>7362</v>
      </c>
      <c r="K5" s="3">
        <v>205</v>
      </c>
      <c r="L5" s="3">
        <v>46</v>
      </c>
      <c r="M5" s="3">
        <v>108</v>
      </c>
      <c r="N5" s="3">
        <v>210</v>
      </c>
      <c r="O5" s="3">
        <v>1632</v>
      </c>
      <c r="P5" s="3">
        <v>206</v>
      </c>
      <c r="Q5" s="3">
        <v>18</v>
      </c>
    </row>
    <row r="6" spans="2:17" ht="9">
      <c r="B6" s="9" t="s">
        <v>23</v>
      </c>
      <c r="C6" s="3">
        <v>345</v>
      </c>
      <c r="D6" s="3">
        <v>4457</v>
      </c>
      <c r="E6" s="3">
        <v>480</v>
      </c>
      <c r="F6" s="3">
        <v>227</v>
      </c>
      <c r="G6" s="3">
        <v>1095</v>
      </c>
      <c r="H6" s="3">
        <v>44</v>
      </c>
      <c r="I6" s="3">
        <v>970</v>
      </c>
      <c r="J6" s="3">
        <v>2746</v>
      </c>
      <c r="K6" s="3">
        <v>62</v>
      </c>
      <c r="L6" s="3">
        <v>21</v>
      </c>
      <c r="M6" s="3">
        <v>54</v>
      </c>
      <c r="N6" s="3">
        <v>98</v>
      </c>
      <c r="O6" s="3">
        <v>112</v>
      </c>
      <c r="P6" s="3">
        <v>52</v>
      </c>
      <c r="Q6" s="3">
        <v>6</v>
      </c>
    </row>
    <row r="7" spans="2:17" ht="9">
      <c r="B7" s="9" t="s">
        <v>24</v>
      </c>
      <c r="C7" s="3">
        <v>644</v>
      </c>
      <c r="D7" s="3">
        <v>7311</v>
      </c>
      <c r="E7" s="3">
        <v>1146</v>
      </c>
      <c r="F7" s="3">
        <v>504</v>
      </c>
      <c r="G7" s="3">
        <v>1447</v>
      </c>
      <c r="H7" s="3">
        <v>116</v>
      </c>
      <c r="I7" s="3">
        <v>1764</v>
      </c>
      <c r="J7" s="3">
        <v>3201</v>
      </c>
      <c r="K7" s="3">
        <v>84</v>
      </c>
      <c r="L7" s="3">
        <v>36</v>
      </c>
      <c r="M7" s="3">
        <v>71</v>
      </c>
      <c r="N7" s="3">
        <v>135</v>
      </c>
      <c r="O7" s="3">
        <v>908</v>
      </c>
      <c r="P7" s="3">
        <v>119</v>
      </c>
      <c r="Q7" s="3">
        <v>20</v>
      </c>
    </row>
    <row r="8" spans="2:17" ht="9">
      <c r="B8" s="9" t="s">
        <v>25</v>
      </c>
      <c r="C8" s="3">
        <v>1083</v>
      </c>
      <c r="D8" s="3">
        <v>12330</v>
      </c>
      <c r="E8" s="3">
        <v>1692</v>
      </c>
      <c r="F8" s="3">
        <v>800</v>
      </c>
      <c r="G8" s="3">
        <v>1736</v>
      </c>
      <c r="H8" s="3">
        <v>128</v>
      </c>
      <c r="I8" s="3">
        <v>2907</v>
      </c>
      <c r="J8" s="3">
        <v>5432</v>
      </c>
      <c r="K8" s="3">
        <v>121</v>
      </c>
      <c r="L8" s="3">
        <v>36</v>
      </c>
      <c r="M8" s="3">
        <v>113</v>
      </c>
      <c r="N8" s="3">
        <v>200</v>
      </c>
      <c r="O8" s="3">
        <v>921</v>
      </c>
      <c r="P8" s="3">
        <v>161</v>
      </c>
      <c r="Q8" s="3">
        <v>33</v>
      </c>
    </row>
    <row r="9" spans="2:17" ht="9">
      <c r="B9" s="9" t="s">
        <v>26</v>
      </c>
      <c r="C9" s="3">
        <v>158</v>
      </c>
      <c r="D9" s="3">
        <v>1265</v>
      </c>
      <c r="E9" s="3">
        <v>222</v>
      </c>
      <c r="F9" s="3">
        <v>110</v>
      </c>
      <c r="G9" s="3">
        <v>601</v>
      </c>
      <c r="H9" s="3">
        <v>40</v>
      </c>
      <c r="I9" s="3">
        <v>378</v>
      </c>
      <c r="J9" s="3">
        <v>927</v>
      </c>
      <c r="K9" s="3">
        <v>51</v>
      </c>
      <c r="L9" s="3">
        <v>15</v>
      </c>
      <c r="M9" s="3">
        <v>37</v>
      </c>
      <c r="N9" s="3">
        <v>81</v>
      </c>
      <c r="O9" s="3">
        <v>56</v>
      </c>
      <c r="P9" s="3">
        <v>53</v>
      </c>
      <c r="Q9" s="3">
        <v>7</v>
      </c>
    </row>
    <row r="10" spans="1:17" ht="9">
      <c r="A10" s="4" t="s">
        <v>28</v>
      </c>
      <c r="C10" s="3">
        <v>3416</v>
      </c>
      <c r="D10" s="3">
        <v>38079</v>
      </c>
      <c r="E10" s="3">
        <v>5229</v>
      </c>
      <c r="F10" s="3">
        <v>2378</v>
      </c>
      <c r="G10" s="3">
        <v>7428</v>
      </c>
      <c r="H10" s="3">
        <v>496</v>
      </c>
      <c r="I10" s="3">
        <v>9046</v>
      </c>
      <c r="J10" s="3">
        <v>20942</v>
      </c>
      <c r="K10" s="3">
        <v>581</v>
      </c>
      <c r="L10" s="3">
        <v>170</v>
      </c>
      <c r="M10" s="3">
        <v>431</v>
      </c>
      <c r="N10" s="3">
        <v>785</v>
      </c>
      <c r="O10" s="3">
        <v>3654</v>
      </c>
      <c r="P10" s="3">
        <v>621</v>
      </c>
      <c r="Q10" s="3">
        <v>90</v>
      </c>
    </row>
    <row r="11" spans="2:17" s="6" customFormat="1" ht="9">
      <c r="B11" s="10" t="s">
        <v>160</v>
      </c>
      <c r="C11" s="7">
        <f>C10/49102</f>
        <v>0.06956946763879272</v>
      </c>
      <c r="D11" s="7">
        <f>D10/49102</f>
        <v>0.7755081259419169</v>
      </c>
      <c r="E11" s="7">
        <f>E10/49102</f>
        <v>0.10649260722577492</v>
      </c>
      <c r="F11" s="7">
        <f>F10/49102</f>
        <v>0.04842979919351554</v>
      </c>
      <c r="G11" s="7">
        <f aca="true" t="shared" si="0" ref="G11:M11">G10/39094</f>
        <v>0.19000358111219112</v>
      </c>
      <c r="H11" s="7">
        <f t="shared" si="0"/>
        <v>0.012687368905714431</v>
      </c>
      <c r="I11" s="7">
        <f t="shared" si="0"/>
        <v>0.2313910062925257</v>
      </c>
      <c r="J11" s="7">
        <f t="shared" si="0"/>
        <v>0.5356832250473218</v>
      </c>
      <c r="K11" s="7">
        <f t="shared" si="0"/>
        <v>0.014861615593185655</v>
      </c>
      <c r="L11" s="7">
        <f t="shared" si="0"/>
        <v>0.004348493374942446</v>
      </c>
      <c r="M11" s="7">
        <f t="shared" si="0"/>
        <v>0.011024709674118791</v>
      </c>
      <c r="N11" s="7">
        <f>N10/785</f>
        <v>1</v>
      </c>
      <c r="O11" s="7">
        <f>O10/3654</f>
        <v>1</v>
      </c>
      <c r="P11" s="7">
        <v>1</v>
      </c>
      <c r="Q11" s="7">
        <f>Q10/90</f>
        <v>1</v>
      </c>
    </row>
    <row r="12" spans="2:17" ht="4.5" customHeight="1">
      <c r="B12" s="11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</row>
    <row r="13" spans="1:17" ht="9">
      <c r="A13" s="5" t="s">
        <v>38</v>
      </c>
      <c r="B13" s="11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</row>
    <row r="14" spans="2:17" ht="9">
      <c r="B14" s="9" t="s">
        <v>29</v>
      </c>
      <c r="C14" s="3">
        <v>139</v>
      </c>
      <c r="D14" s="3">
        <v>884</v>
      </c>
      <c r="E14" s="3">
        <v>166</v>
      </c>
      <c r="F14" s="3">
        <v>94</v>
      </c>
      <c r="G14" s="3">
        <v>907</v>
      </c>
      <c r="H14" s="3">
        <v>10</v>
      </c>
      <c r="I14" s="3">
        <v>410</v>
      </c>
      <c r="J14" s="3">
        <v>1684</v>
      </c>
      <c r="K14" s="3">
        <v>25</v>
      </c>
      <c r="L14" s="3">
        <v>3</v>
      </c>
      <c r="M14" s="3">
        <v>13</v>
      </c>
      <c r="N14" s="3">
        <v>34</v>
      </c>
      <c r="O14" s="3">
        <v>32</v>
      </c>
      <c r="P14" s="3">
        <v>19</v>
      </c>
      <c r="Q14" s="3">
        <v>0</v>
      </c>
    </row>
    <row r="15" spans="2:17" ht="9">
      <c r="B15" s="9" t="s">
        <v>30</v>
      </c>
      <c r="C15" s="3">
        <v>154</v>
      </c>
      <c r="D15" s="3">
        <v>1007</v>
      </c>
      <c r="E15" s="3">
        <v>209</v>
      </c>
      <c r="F15" s="3">
        <v>147</v>
      </c>
      <c r="G15" s="3">
        <v>743</v>
      </c>
      <c r="H15" s="3">
        <v>16</v>
      </c>
      <c r="I15" s="3">
        <v>475</v>
      </c>
      <c r="J15" s="3">
        <v>1163</v>
      </c>
      <c r="K15" s="3">
        <v>17</v>
      </c>
      <c r="L15" s="3">
        <v>6</v>
      </c>
      <c r="M15" s="3">
        <v>23</v>
      </c>
      <c r="N15" s="3">
        <v>56</v>
      </c>
      <c r="O15" s="3">
        <v>11</v>
      </c>
      <c r="P15" s="3">
        <v>18</v>
      </c>
      <c r="Q15" s="3">
        <v>1</v>
      </c>
    </row>
    <row r="16" spans="2:17" ht="9">
      <c r="B16" s="9" t="s">
        <v>31</v>
      </c>
      <c r="C16" s="3">
        <v>179</v>
      </c>
      <c r="D16" s="3">
        <v>1127</v>
      </c>
      <c r="E16" s="3">
        <v>204</v>
      </c>
      <c r="F16" s="3">
        <v>117</v>
      </c>
      <c r="G16" s="3">
        <v>927</v>
      </c>
      <c r="H16" s="3">
        <v>20</v>
      </c>
      <c r="I16" s="3">
        <v>351</v>
      </c>
      <c r="J16" s="3">
        <v>1662</v>
      </c>
      <c r="K16" s="3">
        <v>33</v>
      </c>
      <c r="L16" s="3">
        <v>10</v>
      </c>
      <c r="M16" s="3">
        <v>33</v>
      </c>
      <c r="N16" s="3">
        <v>34</v>
      </c>
      <c r="O16" s="3">
        <v>9</v>
      </c>
      <c r="P16" s="3">
        <v>10</v>
      </c>
      <c r="Q16" s="3">
        <v>1</v>
      </c>
    </row>
    <row r="17" spans="2:17" ht="9">
      <c r="B17" s="9" t="s">
        <v>32</v>
      </c>
      <c r="C17" s="3">
        <v>146</v>
      </c>
      <c r="D17" s="3">
        <v>703</v>
      </c>
      <c r="E17" s="3">
        <v>113</v>
      </c>
      <c r="F17" s="3">
        <v>64</v>
      </c>
      <c r="G17" s="3">
        <v>632</v>
      </c>
      <c r="H17" s="3">
        <v>20</v>
      </c>
      <c r="I17" s="3">
        <v>280</v>
      </c>
      <c r="J17" s="3">
        <v>666</v>
      </c>
      <c r="K17" s="3">
        <v>54</v>
      </c>
      <c r="L17" s="3">
        <v>6</v>
      </c>
      <c r="M17" s="3">
        <v>27</v>
      </c>
      <c r="N17" s="3">
        <v>37</v>
      </c>
      <c r="O17" s="3">
        <v>11</v>
      </c>
      <c r="P17" s="3">
        <v>17</v>
      </c>
      <c r="Q17" s="3">
        <v>0</v>
      </c>
    </row>
    <row r="18" spans="2:17" ht="9">
      <c r="B18" s="9" t="s">
        <v>33</v>
      </c>
      <c r="C18" s="3">
        <v>1075</v>
      </c>
      <c r="D18" s="3">
        <v>8854</v>
      </c>
      <c r="E18" s="3">
        <v>1401</v>
      </c>
      <c r="F18" s="3">
        <v>823</v>
      </c>
      <c r="G18" s="3">
        <v>5640</v>
      </c>
      <c r="H18" s="3">
        <v>172</v>
      </c>
      <c r="I18" s="3">
        <v>3133</v>
      </c>
      <c r="J18" s="3">
        <v>12311</v>
      </c>
      <c r="K18" s="3">
        <v>447</v>
      </c>
      <c r="L18" s="3">
        <v>69</v>
      </c>
      <c r="M18" s="3">
        <v>204</v>
      </c>
      <c r="N18" s="3">
        <v>292</v>
      </c>
      <c r="O18" s="3">
        <v>120</v>
      </c>
      <c r="P18" s="3">
        <v>152</v>
      </c>
      <c r="Q18" s="3">
        <v>9</v>
      </c>
    </row>
    <row r="19" spans="2:17" ht="9">
      <c r="B19" s="9" t="s">
        <v>34</v>
      </c>
      <c r="C19" s="3">
        <v>473</v>
      </c>
      <c r="D19" s="3">
        <v>2972</v>
      </c>
      <c r="E19" s="3">
        <v>569</v>
      </c>
      <c r="F19" s="3">
        <v>278</v>
      </c>
      <c r="G19" s="3">
        <v>2166</v>
      </c>
      <c r="H19" s="3">
        <v>80</v>
      </c>
      <c r="I19" s="3">
        <v>1408</v>
      </c>
      <c r="J19" s="3">
        <v>2577</v>
      </c>
      <c r="K19" s="3">
        <v>147</v>
      </c>
      <c r="L19" s="3">
        <v>14</v>
      </c>
      <c r="M19" s="3">
        <v>98</v>
      </c>
      <c r="N19" s="3">
        <v>137</v>
      </c>
      <c r="O19" s="3">
        <v>66</v>
      </c>
      <c r="P19" s="3">
        <v>96</v>
      </c>
      <c r="Q19" s="3">
        <v>25</v>
      </c>
    </row>
    <row r="20" spans="2:17" ht="9">
      <c r="B20" s="9" t="s">
        <v>35</v>
      </c>
      <c r="C20" s="3">
        <v>374</v>
      </c>
      <c r="D20" s="3">
        <v>2826</v>
      </c>
      <c r="E20" s="3">
        <v>555</v>
      </c>
      <c r="F20" s="3">
        <v>318</v>
      </c>
      <c r="G20" s="3">
        <v>2316</v>
      </c>
      <c r="H20" s="3">
        <v>46</v>
      </c>
      <c r="I20" s="3">
        <v>1330</v>
      </c>
      <c r="J20" s="3">
        <v>5063</v>
      </c>
      <c r="K20" s="3">
        <v>64</v>
      </c>
      <c r="L20" s="3">
        <v>13</v>
      </c>
      <c r="M20" s="3">
        <v>51</v>
      </c>
      <c r="N20" s="3">
        <v>76</v>
      </c>
      <c r="O20" s="3">
        <v>22</v>
      </c>
      <c r="P20" s="3">
        <v>33</v>
      </c>
      <c r="Q20" s="3">
        <v>3</v>
      </c>
    </row>
    <row r="21" spans="2:17" ht="9">
      <c r="B21" s="9" t="s">
        <v>36</v>
      </c>
      <c r="C21" s="3">
        <v>476</v>
      </c>
      <c r="D21" s="3">
        <v>3704</v>
      </c>
      <c r="E21" s="3">
        <v>561</v>
      </c>
      <c r="F21" s="3">
        <v>376</v>
      </c>
      <c r="G21" s="3">
        <v>2069</v>
      </c>
      <c r="H21" s="3">
        <v>67</v>
      </c>
      <c r="I21" s="3">
        <v>977</v>
      </c>
      <c r="J21" s="3">
        <v>3930</v>
      </c>
      <c r="K21" s="3">
        <v>114</v>
      </c>
      <c r="L21" s="3">
        <v>29</v>
      </c>
      <c r="M21" s="3">
        <v>74</v>
      </c>
      <c r="N21" s="3">
        <v>214</v>
      </c>
      <c r="O21" s="3">
        <v>26</v>
      </c>
      <c r="P21" s="3">
        <v>72</v>
      </c>
      <c r="Q21" s="3">
        <v>11</v>
      </c>
    </row>
    <row r="22" spans="2:17" ht="9">
      <c r="B22" s="9" t="s">
        <v>37</v>
      </c>
      <c r="C22" s="3">
        <v>72</v>
      </c>
      <c r="D22" s="3">
        <v>604</v>
      </c>
      <c r="E22" s="3">
        <v>114</v>
      </c>
      <c r="F22" s="3">
        <v>72</v>
      </c>
      <c r="G22" s="3">
        <v>344</v>
      </c>
      <c r="H22" s="3">
        <v>6</v>
      </c>
      <c r="I22" s="3">
        <v>275</v>
      </c>
      <c r="J22" s="3">
        <v>674</v>
      </c>
      <c r="K22" s="3">
        <v>8</v>
      </c>
      <c r="L22" s="3">
        <v>5</v>
      </c>
      <c r="M22" s="3">
        <v>6</v>
      </c>
      <c r="N22" s="3">
        <v>13</v>
      </c>
      <c r="O22" s="3">
        <v>11</v>
      </c>
      <c r="P22" s="3">
        <v>11</v>
      </c>
      <c r="Q22" s="3">
        <v>0</v>
      </c>
    </row>
    <row r="23" spans="1:17" ht="9">
      <c r="A23" s="4" t="s">
        <v>28</v>
      </c>
      <c r="C23" s="3">
        <v>3088</v>
      </c>
      <c r="D23" s="3">
        <v>22681</v>
      </c>
      <c r="E23" s="3">
        <v>3892</v>
      </c>
      <c r="F23" s="3">
        <v>2289</v>
      </c>
      <c r="G23" s="3">
        <v>15744</v>
      </c>
      <c r="H23" s="3">
        <v>437</v>
      </c>
      <c r="I23" s="3">
        <v>8639</v>
      </c>
      <c r="J23" s="3">
        <v>29730</v>
      </c>
      <c r="K23" s="3">
        <v>909</v>
      </c>
      <c r="L23" s="3">
        <v>155</v>
      </c>
      <c r="M23" s="3">
        <v>529</v>
      </c>
      <c r="N23" s="3">
        <v>893</v>
      </c>
      <c r="O23" s="3">
        <v>308</v>
      </c>
      <c r="P23" s="3">
        <v>428</v>
      </c>
      <c r="Q23" s="3">
        <v>50</v>
      </c>
    </row>
    <row r="24" spans="2:17" s="6" customFormat="1" ht="9">
      <c r="B24" s="10" t="s">
        <v>160</v>
      </c>
      <c r="C24" s="7">
        <f>C23/31950</f>
        <v>0.09665101721439749</v>
      </c>
      <c r="D24" s="7">
        <f>D23/31950</f>
        <v>0.7098904538341158</v>
      </c>
      <c r="E24" s="7">
        <f>E23/31950</f>
        <v>0.12181533646322379</v>
      </c>
      <c r="F24" s="7">
        <f>F23/31950</f>
        <v>0.07164319248826291</v>
      </c>
      <c r="G24" s="7">
        <f aca="true" t="shared" si="1" ref="G24:M24">G23/56143</f>
        <v>0.28042676736191513</v>
      </c>
      <c r="H24" s="7">
        <f t="shared" si="1"/>
        <v>0.0077836952068824255</v>
      </c>
      <c r="I24" s="7">
        <f t="shared" si="1"/>
        <v>0.15387492652690452</v>
      </c>
      <c r="J24" s="7">
        <f t="shared" si="1"/>
        <v>0.5295406373011774</v>
      </c>
      <c r="K24" s="7">
        <f t="shared" si="1"/>
        <v>0.016190798496695937</v>
      </c>
      <c r="L24" s="7">
        <f t="shared" si="1"/>
        <v>0.002760807224409098</v>
      </c>
      <c r="M24" s="7">
        <f t="shared" si="1"/>
        <v>0.009422367882015567</v>
      </c>
      <c r="N24" s="7">
        <f>N23/893</f>
        <v>1</v>
      </c>
      <c r="O24" s="7">
        <f>O23/308</f>
        <v>1</v>
      </c>
      <c r="P24" s="7">
        <v>1</v>
      </c>
      <c r="Q24" s="7">
        <f>Q23/50</f>
        <v>1</v>
      </c>
    </row>
    <row r="25" spans="2:17" ht="4.5" customHeight="1">
      <c r="B25" s="11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</row>
    <row r="26" spans="1:17" ht="9">
      <c r="A26" s="5" t="s">
        <v>45</v>
      </c>
      <c r="B26" s="11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</row>
    <row r="27" spans="2:17" ht="9">
      <c r="B27" s="9" t="s">
        <v>29</v>
      </c>
      <c r="C27" s="3">
        <v>1597</v>
      </c>
      <c r="D27" s="3">
        <v>12614</v>
      </c>
      <c r="E27" s="3">
        <v>1407</v>
      </c>
      <c r="F27" s="3">
        <v>779</v>
      </c>
      <c r="G27" s="3">
        <v>5940</v>
      </c>
      <c r="H27" s="3">
        <v>145</v>
      </c>
      <c r="I27" s="3">
        <v>3681</v>
      </c>
      <c r="J27" s="3">
        <v>13436</v>
      </c>
      <c r="K27" s="3">
        <v>201</v>
      </c>
      <c r="L27" s="3">
        <v>35</v>
      </c>
      <c r="M27" s="3">
        <v>178</v>
      </c>
      <c r="N27" s="3">
        <v>384</v>
      </c>
      <c r="O27" s="3">
        <v>712</v>
      </c>
      <c r="P27" s="3">
        <v>212</v>
      </c>
      <c r="Q27" s="3">
        <v>32</v>
      </c>
    </row>
    <row r="28" spans="2:17" ht="9">
      <c r="B28" s="9" t="s">
        <v>39</v>
      </c>
      <c r="C28" s="3">
        <v>268</v>
      </c>
      <c r="D28" s="3">
        <v>1833</v>
      </c>
      <c r="E28" s="3">
        <v>304</v>
      </c>
      <c r="F28" s="3">
        <v>164</v>
      </c>
      <c r="G28" s="3">
        <v>1086</v>
      </c>
      <c r="H28" s="3">
        <v>40</v>
      </c>
      <c r="I28" s="3">
        <v>848</v>
      </c>
      <c r="J28" s="3">
        <v>1686</v>
      </c>
      <c r="K28" s="3">
        <v>128</v>
      </c>
      <c r="L28" s="3">
        <v>17</v>
      </c>
      <c r="M28" s="3">
        <v>64</v>
      </c>
      <c r="N28" s="3">
        <v>118</v>
      </c>
      <c r="O28" s="3">
        <v>20</v>
      </c>
      <c r="P28" s="3">
        <v>24</v>
      </c>
      <c r="Q28" s="3">
        <v>4</v>
      </c>
    </row>
    <row r="29" spans="2:17" ht="9">
      <c r="B29" s="9" t="s">
        <v>40</v>
      </c>
      <c r="C29" s="3">
        <v>701</v>
      </c>
      <c r="D29" s="3">
        <v>7079</v>
      </c>
      <c r="E29" s="3">
        <v>832</v>
      </c>
      <c r="F29" s="3">
        <v>421</v>
      </c>
      <c r="G29" s="3">
        <v>3565</v>
      </c>
      <c r="H29" s="3">
        <v>91</v>
      </c>
      <c r="I29" s="3">
        <v>3641</v>
      </c>
      <c r="J29" s="3">
        <v>9618</v>
      </c>
      <c r="K29" s="3">
        <v>99</v>
      </c>
      <c r="L29" s="3">
        <v>21</v>
      </c>
      <c r="M29" s="3">
        <v>98</v>
      </c>
      <c r="N29" s="3">
        <v>192</v>
      </c>
      <c r="O29" s="3">
        <v>655</v>
      </c>
      <c r="P29" s="3">
        <v>163</v>
      </c>
      <c r="Q29" s="3">
        <v>12</v>
      </c>
    </row>
    <row r="30" spans="2:17" ht="9">
      <c r="B30" s="9" t="s">
        <v>41</v>
      </c>
      <c r="C30" s="3">
        <v>186</v>
      </c>
      <c r="D30" s="3">
        <v>1536</v>
      </c>
      <c r="E30" s="3">
        <v>190</v>
      </c>
      <c r="F30" s="3">
        <v>144</v>
      </c>
      <c r="G30" s="3">
        <v>967</v>
      </c>
      <c r="H30" s="3">
        <v>40</v>
      </c>
      <c r="I30" s="3">
        <v>1133</v>
      </c>
      <c r="J30" s="3">
        <v>2631</v>
      </c>
      <c r="K30" s="3">
        <v>28</v>
      </c>
      <c r="L30" s="3">
        <v>3</v>
      </c>
      <c r="M30" s="3">
        <v>31</v>
      </c>
      <c r="N30" s="3">
        <v>33</v>
      </c>
      <c r="O30" s="3">
        <v>35</v>
      </c>
      <c r="P30" s="3">
        <v>32</v>
      </c>
      <c r="Q30" s="3">
        <v>4</v>
      </c>
    </row>
    <row r="31" spans="2:17" ht="9">
      <c r="B31" s="9" t="s">
        <v>42</v>
      </c>
      <c r="C31" s="3">
        <v>272</v>
      </c>
      <c r="D31" s="3">
        <v>1760</v>
      </c>
      <c r="E31" s="3">
        <v>234</v>
      </c>
      <c r="F31" s="3">
        <v>114</v>
      </c>
      <c r="G31" s="3">
        <v>977</v>
      </c>
      <c r="H31" s="3">
        <v>22</v>
      </c>
      <c r="I31" s="3">
        <v>709</v>
      </c>
      <c r="J31" s="3">
        <v>1806</v>
      </c>
      <c r="K31" s="3">
        <v>37</v>
      </c>
      <c r="L31" s="3">
        <v>10</v>
      </c>
      <c r="M31" s="3">
        <v>27</v>
      </c>
      <c r="N31" s="3">
        <v>62</v>
      </c>
      <c r="O31" s="3">
        <v>21</v>
      </c>
      <c r="P31" s="3">
        <v>30</v>
      </c>
      <c r="Q31" s="3">
        <v>4</v>
      </c>
    </row>
    <row r="32" spans="2:17" ht="9">
      <c r="B32" s="9" t="s">
        <v>43</v>
      </c>
      <c r="C32" s="3">
        <v>42</v>
      </c>
      <c r="D32" s="3">
        <v>328</v>
      </c>
      <c r="E32" s="3">
        <v>67</v>
      </c>
      <c r="F32" s="3">
        <v>34</v>
      </c>
      <c r="G32" s="3">
        <v>227</v>
      </c>
      <c r="H32" s="3">
        <v>1</v>
      </c>
      <c r="I32" s="3">
        <v>115</v>
      </c>
      <c r="J32" s="3">
        <v>315</v>
      </c>
      <c r="K32" s="3">
        <v>8</v>
      </c>
      <c r="L32" s="3">
        <v>0</v>
      </c>
      <c r="M32" s="3">
        <v>11</v>
      </c>
      <c r="N32" s="3">
        <v>18</v>
      </c>
      <c r="O32" s="3">
        <v>12</v>
      </c>
      <c r="P32" s="3">
        <v>14</v>
      </c>
      <c r="Q32" s="3">
        <v>0</v>
      </c>
    </row>
    <row r="33" spans="2:17" ht="9">
      <c r="B33" s="9" t="s">
        <v>44</v>
      </c>
      <c r="C33" s="3">
        <v>465</v>
      </c>
      <c r="D33" s="3">
        <v>2439</v>
      </c>
      <c r="E33" s="3">
        <v>383</v>
      </c>
      <c r="F33" s="3">
        <v>207</v>
      </c>
      <c r="G33" s="3">
        <v>1364</v>
      </c>
      <c r="H33" s="3">
        <v>34</v>
      </c>
      <c r="I33" s="3">
        <v>849</v>
      </c>
      <c r="J33" s="3">
        <v>2927</v>
      </c>
      <c r="K33" s="3">
        <v>50</v>
      </c>
      <c r="L33" s="3">
        <v>6</v>
      </c>
      <c r="M33" s="3">
        <v>35</v>
      </c>
      <c r="N33" s="3">
        <v>116</v>
      </c>
      <c r="O33" s="3">
        <v>36</v>
      </c>
      <c r="P33" s="3">
        <v>46</v>
      </c>
      <c r="Q33" s="3">
        <v>4</v>
      </c>
    </row>
    <row r="34" spans="1:17" ht="9">
      <c r="A34" s="4" t="s">
        <v>28</v>
      </c>
      <c r="C34" s="3">
        <v>3531</v>
      </c>
      <c r="D34" s="3">
        <v>27589</v>
      </c>
      <c r="E34" s="3">
        <v>3417</v>
      </c>
      <c r="F34" s="3">
        <v>1863</v>
      </c>
      <c r="G34" s="3">
        <v>14126</v>
      </c>
      <c r="H34" s="3">
        <v>373</v>
      </c>
      <c r="I34" s="3">
        <v>10976</v>
      </c>
      <c r="J34" s="3">
        <v>32419</v>
      </c>
      <c r="K34" s="3">
        <v>551</v>
      </c>
      <c r="L34" s="3">
        <v>92</v>
      </c>
      <c r="M34" s="3">
        <v>444</v>
      </c>
      <c r="N34" s="3">
        <v>923</v>
      </c>
      <c r="O34" s="3">
        <v>1491</v>
      </c>
      <c r="P34" s="3">
        <v>521</v>
      </c>
      <c r="Q34" s="3">
        <v>60</v>
      </c>
    </row>
    <row r="35" spans="2:17" s="6" customFormat="1" ht="9">
      <c r="B35" s="10" t="s">
        <v>160</v>
      </c>
      <c r="C35" s="7">
        <f>C34/36400</f>
        <v>0.0970054945054945</v>
      </c>
      <c r="D35" s="7">
        <f>D34/36400</f>
        <v>0.7579395604395605</v>
      </c>
      <c r="E35" s="7">
        <f>E34/36400</f>
        <v>0.09387362637362637</v>
      </c>
      <c r="F35" s="7">
        <f>F34/36400</f>
        <v>0.05118131868131868</v>
      </c>
      <c r="G35" s="7">
        <f aca="true" t="shared" si="2" ref="G35:M35">G34/58981</f>
        <v>0.23950085620793138</v>
      </c>
      <c r="H35" s="7">
        <f t="shared" si="2"/>
        <v>0.00632407046336956</v>
      </c>
      <c r="I35" s="7">
        <f t="shared" si="2"/>
        <v>0.1860938268255879</v>
      </c>
      <c r="J35" s="7">
        <f t="shared" si="2"/>
        <v>0.5496515827130771</v>
      </c>
      <c r="K35" s="7">
        <f t="shared" si="2"/>
        <v>0.009341991488784524</v>
      </c>
      <c r="L35" s="7">
        <f t="shared" si="2"/>
        <v>0.001559824350214476</v>
      </c>
      <c r="M35" s="7">
        <f t="shared" si="2"/>
        <v>0.0075278479510350795</v>
      </c>
      <c r="N35" s="7">
        <f>N34/923</f>
        <v>1</v>
      </c>
      <c r="O35" s="7">
        <f>O34/1491</f>
        <v>1</v>
      </c>
      <c r="P35" s="7">
        <v>1</v>
      </c>
      <c r="Q35" s="7">
        <f>Q34/60</f>
        <v>1</v>
      </c>
    </row>
    <row r="36" spans="2:17" ht="4.5" customHeight="1">
      <c r="B36" s="11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</row>
    <row r="37" spans="1:17" ht="9">
      <c r="A37" s="5" t="s">
        <v>49</v>
      </c>
      <c r="B37" s="11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</row>
    <row r="38" spans="2:17" ht="9">
      <c r="B38" s="9" t="s">
        <v>46</v>
      </c>
      <c r="C38" s="3">
        <v>12</v>
      </c>
      <c r="D38" s="3">
        <v>155</v>
      </c>
      <c r="E38" s="3">
        <v>12</v>
      </c>
      <c r="F38" s="3">
        <v>5</v>
      </c>
      <c r="G38" s="3">
        <v>72</v>
      </c>
      <c r="H38" s="3">
        <v>2</v>
      </c>
      <c r="I38" s="3">
        <v>53</v>
      </c>
      <c r="J38" s="3">
        <v>96</v>
      </c>
      <c r="K38" s="3">
        <v>8</v>
      </c>
      <c r="L38" s="3">
        <v>1</v>
      </c>
      <c r="M38" s="3">
        <v>2</v>
      </c>
      <c r="N38" s="3">
        <v>10</v>
      </c>
      <c r="O38" s="3">
        <v>4</v>
      </c>
      <c r="P38" s="3">
        <v>2</v>
      </c>
      <c r="Q38" s="3">
        <v>2</v>
      </c>
    </row>
    <row r="39" spans="2:17" ht="9">
      <c r="B39" s="9" t="s">
        <v>47</v>
      </c>
      <c r="C39" s="3">
        <v>953</v>
      </c>
      <c r="D39" s="3">
        <v>7963</v>
      </c>
      <c r="E39" s="3">
        <v>1255</v>
      </c>
      <c r="F39" s="3">
        <v>642</v>
      </c>
      <c r="G39" s="3">
        <v>4707</v>
      </c>
      <c r="H39" s="3">
        <v>125</v>
      </c>
      <c r="I39" s="3">
        <v>4325</v>
      </c>
      <c r="J39" s="3">
        <v>10683</v>
      </c>
      <c r="K39" s="3">
        <v>138</v>
      </c>
      <c r="L39" s="3">
        <v>39</v>
      </c>
      <c r="M39" s="3">
        <v>125</v>
      </c>
      <c r="N39" s="3">
        <v>303</v>
      </c>
      <c r="O39" s="3">
        <v>214</v>
      </c>
      <c r="P39" s="3">
        <v>196</v>
      </c>
      <c r="Q39" s="3">
        <v>9</v>
      </c>
    </row>
    <row r="40" spans="2:17" ht="9">
      <c r="B40" s="9" t="s">
        <v>41</v>
      </c>
      <c r="C40" s="3">
        <v>1147</v>
      </c>
      <c r="D40" s="3">
        <v>12537</v>
      </c>
      <c r="E40" s="3">
        <v>1643</v>
      </c>
      <c r="F40" s="3">
        <v>768</v>
      </c>
      <c r="G40" s="3">
        <v>7387</v>
      </c>
      <c r="H40" s="3">
        <v>168</v>
      </c>
      <c r="I40" s="3">
        <v>7984</v>
      </c>
      <c r="J40" s="3">
        <v>18555</v>
      </c>
      <c r="K40" s="3">
        <v>162</v>
      </c>
      <c r="L40" s="3">
        <v>50</v>
      </c>
      <c r="M40" s="3">
        <v>181</v>
      </c>
      <c r="N40" s="3">
        <v>235</v>
      </c>
      <c r="O40" s="3">
        <v>156</v>
      </c>
      <c r="P40" s="3">
        <v>174</v>
      </c>
      <c r="Q40" s="3">
        <v>18</v>
      </c>
    </row>
    <row r="41" spans="2:17" ht="9">
      <c r="B41" s="9" t="s">
        <v>48</v>
      </c>
      <c r="C41" s="3">
        <v>387</v>
      </c>
      <c r="D41" s="3">
        <v>3798</v>
      </c>
      <c r="E41" s="3">
        <v>513</v>
      </c>
      <c r="F41" s="3">
        <v>241</v>
      </c>
      <c r="G41" s="3">
        <v>1433</v>
      </c>
      <c r="H41" s="3">
        <v>39</v>
      </c>
      <c r="I41" s="3">
        <v>1211</v>
      </c>
      <c r="J41" s="3">
        <v>3627</v>
      </c>
      <c r="K41" s="3">
        <v>28</v>
      </c>
      <c r="L41" s="3">
        <v>16</v>
      </c>
      <c r="M41" s="3">
        <v>40</v>
      </c>
      <c r="N41" s="3">
        <v>99</v>
      </c>
      <c r="O41" s="3">
        <v>35</v>
      </c>
      <c r="P41" s="3">
        <v>50</v>
      </c>
      <c r="Q41" s="3">
        <v>3</v>
      </c>
    </row>
    <row r="42" spans="1:17" ht="9">
      <c r="A42" s="4" t="s">
        <v>28</v>
      </c>
      <c r="C42" s="3">
        <v>2499</v>
      </c>
      <c r="D42" s="3">
        <v>24453</v>
      </c>
      <c r="E42" s="3">
        <v>3423</v>
      </c>
      <c r="F42" s="3">
        <v>1656</v>
      </c>
      <c r="G42" s="3">
        <v>13599</v>
      </c>
      <c r="H42" s="3">
        <v>334</v>
      </c>
      <c r="I42" s="3">
        <v>13573</v>
      </c>
      <c r="J42" s="3">
        <v>32961</v>
      </c>
      <c r="K42" s="3">
        <v>336</v>
      </c>
      <c r="L42" s="3">
        <v>106</v>
      </c>
      <c r="M42" s="3">
        <v>348</v>
      </c>
      <c r="N42" s="3">
        <v>647</v>
      </c>
      <c r="O42" s="3">
        <v>409</v>
      </c>
      <c r="P42" s="3">
        <v>422</v>
      </c>
      <c r="Q42" s="3">
        <v>32</v>
      </c>
    </row>
    <row r="43" spans="2:17" s="6" customFormat="1" ht="9">
      <c r="B43" s="10" t="s">
        <v>160</v>
      </c>
      <c r="C43" s="7">
        <f>C42/32031</f>
        <v>0.0780181698979114</v>
      </c>
      <c r="D43" s="7">
        <f>D42/32031</f>
        <v>0.7634166900814836</v>
      </c>
      <c r="E43" s="7">
        <f>E42/32031</f>
        <v>0.10686522431394586</v>
      </c>
      <c r="F43" s="7">
        <f>F42/32031</f>
        <v>0.051699915706659175</v>
      </c>
      <c r="G43" s="7">
        <f aca="true" t="shared" si="3" ref="G43:M43">G42/61257</f>
        <v>0.22199911846809345</v>
      </c>
      <c r="H43" s="7">
        <f t="shared" si="3"/>
        <v>0.0054524380887082296</v>
      </c>
      <c r="I43" s="7">
        <f t="shared" si="3"/>
        <v>0.22157467717975088</v>
      </c>
      <c r="J43" s="7">
        <f t="shared" si="3"/>
        <v>0.5380772809638082</v>
      </c>
      <c r="K43" s="7">
        <f t="shared" si="3"/>
        <v>0.005485087418580734</v>
      </c>
      <c r="L43" s="7">
        <f t="shared" si="3"/>
        <v>0.0017304144832427314</v>
      </c>
      <c r="M43" s="7">
        <f t="shared" si="3"/>
        <v>0.00568098339781576</v>
      </c>
      <c r="N43" s="7">
        <f>N42/647</f>
        <v>1</v>
      </c>
      <c r="O43" s="7">
        <f>O42/409</f>
        <v>1</v>
      </c>
      <c r="P43" s="7">
        <v>1</v>
      </c>
      <c r="Q43" s="7">
        <f>Q42/32</f>
        <v>1</v>
      </c>
    </row>
    <row r="44" spans="2:17" ht="4.5" customHeight="1">
      <c r="B44" s="11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</row>
    <row r="45" spans="1:17" ht="9">
      <c r="A45" s="5" t="s">
        <v>50</v>
      </c>
      <c r="B45" s="11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</row>
    <row r="46" spans="2:17" ht="9">
      <c r="B46" s="9" t="s">
        <v>41</v>
      </c>
      <c r="C46" s="3">
        <v>79</v>
      </c>
      <c r="D46" s="3">
        <v>915</v>
      </c>
      <c r="E46" s="3">
        <v>122</v>
      </c>
      <c r="F46" s="3">
        <v>75</v>
      </c>
      <c r="G46" s="3">
        <v>736</v>
      </c>
      <c r="H46" s="3">
        <v>3</v>
      </c>
      <c r="I46" s="3">
        <v>1219</v>
      </c>
      <c r="J46" s="3">
        <v>2126</v>
      </c>
      <c r="K46" s="3">
        <v>14</v>
      </c>
      <c r="L46" s="3">
        <v>2</v>
      </c>
      <c r="M46" s="3">
        <v>12</v>
      </c>
      <c r="N46" s="3">
        <v>19</v>
      </c>
      <c r="O46" s="3">
        <v>4</v>
      </c>
      <c r="P46" s="3">
        <v>14</v>
      </c>
      <c r="Q46" s="3">
        <v>1</v>
      </c>
    </row>
    <row r="47" spans="2:17" ht="9">
      <c r="B47" s="9" t="s">
        <v>48</v>
      </c>
      <c r="C47" s="3">
        <v>2279</v>
      </c>
      <c r="D47" s="3">
        <v>22425</v>
      </c>
      <c r="E47" s="3">
        <v>3146</v>
      </c>
      <c r="F47" s="3">
        <v>1686</v>
      </c>
      <c r="G47" s="3">
        <v>10556</v>
      </c>
      <c r="H47" s="3">
        <v>206</v>
      </c>
      <c r="I47" s="3">
        <v>11192</v>
      </c>
      <c r="J47" s="3">
        <v>23710</v>
      </c>
      <c r="K47" s="3">
        <v>341</v>
      </c>
      <c r="L47" s="3">
        <v>91</v>
      </c>
      <c r="M47" s="3">
        <v>162</v>
      </c>
      <c r="N47" s="3">
        <v>408</v>
      </c>
      <c r="O47" s="3">
        <v>331</v>
      </c>
      <c r="P47" s="3">
        <v>253</v>
      </c>
      <c r="Q47" s="3">
        <v>25</v>
      </c>
    </row>
    <row r="48" spans="1:17" ht="9">
      <c r="A48" s="4" t="s">
        <v>28</v>
      </c>
      <c r="C48" s="3">
        <v>2358</v>
      </c>
      <c r="D48" s="3">
        <v>23340</v>
      </c>
      <c r="E48" s="3">
        <v>3268</v>
      </c>
      <c r="F48" s="3">
        <v>1761</v>
      </c>
      <c r="G48" s="3">
        <v>11292</v>
      </c>
      <c r="H48" s="3">
        <v>209</v>
      </c>
      <c r="I48" s="3">
        <v>12411</v>
      </c>
      <c r="J48" s="3">
        <v>25836</v>
      </c>
      <c r="K48" s="3">
        <v>355</v>
      </c>
      <c r="L48" s="3">
        <v>93</v>
      </c>
      <c r="M48" s="3">
        <v>174</v>
      </c>
      <c r="N48" s="3">
        <v>427</v>
      </c>
      <c r="O48" s="3">
        <v>335</v>
      </c>
      <c r="P48" s="3">
        <v>267</v>
      </c>
      <c r="Q48" s="3">
        <v>26</v>
      </c>
    </row>
    <row r="49" spans="2:17" s="6" customFormat="1" ht="9">
      <c r="B49" s="10" t="s">
        <v>160</v>
      </c>
      <c r="C49" s="7">
        <f>C48/30727</f>
        <v>0.07674032609756891</v>
      </c>
      <c r="D49" s="7">
        <f>D48/30727</f>
        <v>0.7595925407621961</v>
      </c>
      <c r="E49" s="7">
        <f>E48/30727</f>
        <v>0.10635597357372994</v>
      </c>
      <c r="F49" s="7">
        <f>F48/30727</f>
        <v>0.05731115956650503</v>
      </c>
      <c r="G49" s="7">
        <f aca="true" t="shared" si="4" ref="G49:M49">G48/50370</f>
        <v>0.2241810601548541</v>
      </c>
      <c r="H49" s="7">
        <f t="shared" si="4"/>
        <v>0.004149295215405996</v>
      </c>
      <c r="I49" s="7">
        <f t="shared" si="4"/>
        <v>0.24639666468135796</v>
      </c>
      <c r="J49" s="7">
        <f t="shared" si="4"/>
        <v>0.5129243597379393</v>
      </c>
      <c r="K49" s="7">
        <f t="shared" si="4"/>
        <v>0.007047845940043677</v>
      </c>
      <c r="L49" s="7">
        <f t="shared" si="4"/>
        <v>0.0018463371054198928</v>
      </c>
      <c r="M49" s="7">
        <f t="shared" si="4"/>
        <v>0.0034544371649791543</v>
      </c>
      <c r="N49" s="7">
        <f>N48/427</f>
        <v>1</v>
      </c>
      <c r="O49" s="7">
        <f>O48/335</f>
        <v>1</v>
      </c>
      <c r="P49" s="7">
        <f>P48/267</f>
        <v>1</v>
      </c>
      <c r="Q49" s="7">
        <f>Q48/26</f>
        <v>1</v>
      </c>
    </row>
    <row r="50" spans="2:17" ht="4.5" customHeight="1">
      <c r="B50" s="11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</row>
    <row r="51" spans="1:17" ht="9">
      <c r="A51" s="5" t="s">
        <v>52</v>
      </c>
      <c r="B51" s="11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</row>
    <row r="52" spans="2:17" ht="9">
      <c r="B52" s="9" t="s">
        <v>51</v>
      </c>
      <c r="C52" s="3">
        <v>1505</v>
      </c>
      <c r="D52" s="3">
        <v>25333</v>
      </c>
      <c r="E52" s="3">
        <v>2202</v>
      </c>
      <c r="F52" s="3">
        <v>1167</v>
      </c>
      <c r="G52" s="3">
        <v>2553</v>
      </c>
      <c r="H52" s="3">
        <v>139</v>
      </c>
      <c r="I52" s="3">
        <v>7924</v>
      </c>
      <c r="J52" s="3">
        <v>10095</v>
      </c>
      <c r="K52" s="3">
        <v>109</v>
      </c>
      <c r="L52" s="3">
        <v>28</v>
      </c>
      <c r="M52" s="3">
        <v>92</v>
      </c>
      <c r="N52" s="3">
        <v>204</v>
      </c>
      <c r="O52" s="3">
        <v>1040</v>
      </c>
      <c r="P52" s="3">
        <v>225</v>
      </c>
      <c r="Q52" s="3">
        <v>33</v>
      </c>
    </row>
    <row r="53" spans="2:17" ht="9">
      <c r="B53" s="9" t="s">
        <v>25</v>
      </c>
      <c r="C53" s="3">
        <v>1437</v>
      </c>
      <c r="D53" s="3">
        <v>17518</v>
      </c>
      <c r="E53" s="3">
        <v>2014</v>
      </c>
      <c r="F53" s="3">
        <v>1171</v>
      </c>
      <c r="G53" s="3">
        <v>2452</v>
      </c>
      <c r="H53" s="3">
        <v>123</v>
      </c>
      <c r="I53" s="3">
        <v>3757</v>
      </c>
      <c r="J53" s="3">
        <v>7720</v>
      </c>
      <c r="K53" s="3">
        <v>161</v>
      </c>
      <c r="L53" s="3">
        <v>49</v>
      </c>
      <c r="M53" s="3">
        <v>143</v>
      </c>
      <c r="N53" s="3">
        <v>247</v>
      </c>
      <c r="O53" s="3">
        <v>810</v>
      </c>
      <c r="P53" s="3">
        <v>218</v>
      </c>
      <c r="Q53" s="3">
        <v>33</v>
      </c>
    </row>
    <row r="54" spans="1:17" ht="9">
      <c r="A54" s="4" t="s">
        <v>28</v>
      </c>
      <c r="C54" s="3">
        <v>2942</v>
      </c>
      <c r="D54" s="3">
        <v>42851</v>
      </c>
      <c r="E54" s="3">
        <v>4216</v>
      </c>
      <c r="F54" s="3">
        <v>2338</v>
      </c>
      <c r="G54" s="3">
        <v>5005</v>
      </c>
      <c r="H54" s="3">
        <v>262</v>
      </c>
      <c r="I54" s="3">
        <v>11681</v>
      </c>
      <c r="J54" s="3">
        <v>17815</v>
      </c>
      <c r="K54" s="3">
        <v>270</v>
      </c>
      <c r="L54" s="3">
        <v>77</v>
      </c>
      <c r="M54" s="3">
        <v>235</v>
      </c>
      <c r="N54" s="3">
        <v>451</v>
      </c>
      <c r="O54" s="3">
        <v>1850</v>
      </c>
      <c r="P54" s="3">
        <v>443</v>
      </c>
      <c r="Q54" s="3">
        <v>66</v>
      </c>
    </row>
    <row r="55" spans="2:17" s="6" customFormat="1" ht="9">
      <c r="B55" s="10" t="s">
        <v>160</v>
      </c>
      <c r="C55" s="7">
        <f>C54/52347</f>
        <v>0.05620188358454162</v>
      </c>
      <c r="D55" s="7">
        <f>D54/52347</f>
        <v>0.8185951439433015</v>
      </c>
      <c r="E55" s="7">
        <f>E54/52347</f>
        <v>0.08053947695187881</v>
      </c>
      <c r="F55" s="7">
        <f>F54/52347</f>
        <v>0.044663495520278144</v>
      </c>
      <c r="G55" s="7">
        <f aca="true" t="shared" si="5" ref="G55:M55">G54/35345</f>
        <v>0.14160418729664734</v>
      </c>
      <c r="H55" s="7">
        <f t="shared" si="5"/>
        <v>0.007412646767576744</v>
      </c>
      <c r="I55" s="7">
        <f t="shared" si="5"/>
        <v>0.33048521714528223</v>
      </c>
      <c r="J55" s="7">
        <f t="shared" si="5"/>
        <v>0.5040316876503041</v>
      </c>
      <c r="K55" s="7">
        <f t="shared" si="5"/>
        <v>0.0076389871268920636</v>
      </c>
      <c r="L55" s="7">
        <f t="shared" si="5"/>
        <v>0.0021785259584099588</v>
      </c>
      <c r="M55" s="7">
        <f t="shared" si="5"/>
        <v>0.0066487480548875376</v>
      </c>
      <c r="N55" s="7">
        <f>N54/451</f>
        <v>1</v>
      </c>
      <c r="O55" s="7">
        <f>O54/1850</f>
        <v>1</v>
      </c>
      <c r="P55" s="7">
        <v>1</v>
      </c>
      <c r="Q55" s="7">
        <f>Q54/66</f>
        <v>1</v>
      </c>
    </row>
    <row r="56" spans="2:17" ht="4.5" customHeight="1">
      <c r="B56" s="11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</row>
    <row r="57" spans="1:17" ht="9">
      <c r="A57" s="5" t="s">
        <v>55</v>
      </c>
      <c r="B57" s="11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</row>
    <row r="58" spans="2:17" ht="9">
      <c r="B58" s="9" t="s">
        <v>53</v>
      </c>
      <c r="C58" s="3">
        <v>1053</v>
      </c>
      <c r="D58" s="3">
        <v>9550</v>
      </c>
      <c r="E58" s="3">
        <v>961</v>
      </c>
      <c r="F58" s="3">
        <v>540</v>
      </c>
      <c r="G58" s="3">
        <v>2147</v>
      </c>
      <c r="H58" s="3">
        <v>92</v>
      </c>
      <c r="I58" s="3">
        <v>2506</v>
      </c>
      <c r="J58" s="3">
        <v>6153</v>
      </c>
      <c r="K58" s="3">
        <v>120</v>
      </c>
      <c r="L58" s="3">
        <v>63</v>
      </c>
      <c r="M58" s="3">
        <v>93</v>
      </c>
      <c r="N58" s="3">
        <v>204</v>
      </c>
      <c r="O58" s="3">
        <v>217</v>
      </c>
      <c r="P58" s="3">
        <v>117</v>
      </c>
      <c r="Q58" s="3">
        <v>16</v>
      </c>
    </row>
    <row r="59" spans="2:17" ht="9">
      <c r="B59" s="9" t="s">
        <v>54</v>
      </c>
      <c r="C59" s="3">
        <v>712</v>
      </c>
      <c r="D59" s="3">
        <v>8026</v>
      </c>
      <c r="E59" s="3">
        <v>682</v>
      </c>
      <c r="F59" s="3">
        <v>320</v>
      </c>
      <c r="G59" s="3">
        <v>815</v>
      </c>
      <c r="H59" s="3">
        <v>38</v>
      </c>
      <c r="I59" s="3">
        <v>1184</v>
      </c>
      <c r="J59" s="3">
        <v>2854</v>
      </c>
      <c r="K59" s="3">
        <v>41</v>
      </c>
      <c r="L59" s="3">
        <v>36</v>
      </c>
      <c r="M59" s="3">
        <v>37</v>
      </c>
      <c r="N59" s="3">
        <v>61</v>
      </c>
      <c r="O59" s="3">
        <v>93</v>
      </c>
      <c r="P59" s="3">
        <v>43</v>
      </c>
      <c r="Q59" s="3">
        <v>4</v>
      </c>
    </row>
    <row r="60" spans="2:17" ht="9">
      <c r="B60" s="9" t="s">
        <v>25</v>
      </c>
      <c r="C60" s="3">
        <v>1565</v>
      </c>
      <c r="D60" s="3">
        <v>16048</v>
      </c>
      <c r="E60" s="3">
        <v>1756</v>
      </c>
      <c r="F60" s="3">
        <v>909</v>
      </c>
      <c r="G60" s="3">
        <v>2303</v>
      </c>
      <c r="H60" s="3">
        <v>134</v>
      </c>
      <c r="I60" s="3">
        <v>4266</v>
      </c>
      <c r="J60" s="3">
        <v>7686</v>
      </c>
      <c r="K60" s="3">
        <v>162</v>
      </c>
      <c r="L60" s="3">
        <v>79</v>
      </c>
      <c r="M60" s="3">
        <v>140</v>
      </c>
      <c r="N60" s="3">
        <v>232</v>
      </c>
      <c r="O60" s="3">
        <v>610</v>
      </c>
      <c r="P60" s="3">
        <v>181</v>
      </c>
      <c r="Q60" s="3">
        <v>21</v>
      </c>
    </row>
    <row r="61" spans="1:17" ht="9">
      <c r="A61" s="4" t="s">
        <v>28</v>
      </c>
      <c r="C61" s="3">
        <v>3330</v>
      </c>
      <c r="D61" s="3">
        <v>33624</v>
      </c>
      <c r="E61" s="3">
        <v>3399</v>
      </c>
      <c r="F61" s="3">
        <v>1769</v>
      </c>
      <c r="G61" s="3">
        <v>5265</v>
      </c>
      <c r="H61" s="3">
        <v>264</v>
      </c>
      <c r="I61" s="3">
        <v>7956</v>
      </c>
      <c r="J61" s="3">
        <v>16693</v>
      </c>
      <c r="K61" s="3">
        <v>323</v>
      </c>
      <c r="L61" s="3">
        <v>178</v>
      </c>
      <c r="M61" s="3">
        <v>270</v>
      </c>
      <c r="N61" s="3">
        <v>497</v>
      </c>
      <c r="O61" s="3">
        <v>920</v>
      </c>
      <c r="P61" s="3">
        <v>341</v>
      </c>
      <c r="Q61" s="3">
        <v>41</v>
      </c>
    </row>
    <row r="62" spans="2:17" s="6" customFormat="1" ht="9">
      <c r="B62" s="10" t="s">
        <v>160</v>
      </c>
      <c r="C62" s="7">
        <f>C61/42122</f>
        <v>0.07905607521010398</v>
      </c>
      <c r="D62" s="7">
        <f>D61/42122</f>
        <v>0.7982526945539148</v>
      </c>
      <c r="E62" s="7">
        <f>E61/42122</f>
        <v>0.08069417406580884</v>
      </c>
      <c r="F62" s="7">
        <f>F61/42122</f>
        <v>0.04199705617017235</v>
      </c>
      <c r="G62" s="7">
        <f aca="true" t="shared" si="6" ref="G62:M62">G61/30949</f>
        <v>0.17011858218359235</v>
      </c>
      <c r="H62" s="7">
        <f t="shared" si="6"/>
        <v>0.008530162525445088</v>
      </c>
      <c r="I62" s="7">
        <f t="shared" si="6"/>
        <v>0.2570680797440951</v>
      </c>
      <c r="J62" s="7">
        <f t="shared" si="6"/>
        <v>0.5393712236259653</v>
      </c>
      <c r="K62" s="7">
        <f t="shared" si="6"/>
        <v>0.010436524604995315</v>
      </c>
      <c r="L62" s="7">
        <f t="shared" si="6"/>
        <v>0.005751397460337975</v>
      </c>
      <c r="M62" s="7">
        <f t="shared" si="6"/>
        <v>0.00872402985556884</v>
      </c>
      <c r="N62" s="7">
        <f>N61/497</f>
        <v>1</v>
      </c>
      <c r="O62" s="7">
        <f>O61/920</f>
        <v>1</v>
      </c>
      <c r="P62" s="7">
        <f>P61/341</f>
        <v>1</v>
      </c>
      <c r="Q62" s="7">
        <f>Q61/41</f>
        <v>1</v>
      </c>
    </row>
    <row r="63" spans="2:17" ht="4.5" customHeight="1">
      <c r="B63" s="11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</row>
    <row r="64" spans="1:17" ht="9">
      <c r="A64" s="5" t="s">
        <v>56</v>
      </c>
      <c r="B64" s="11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</row>
    <row r="65" spans="2:17" ht="9">
      <c r="B65" s="9" t="s">
        <v>54</v>
      </c>
      <c r="C65" s="3">
        <v>1165</v>
      </c>
      <c r="D65" s="3">
        <v>15896</v>
      </c>
      <c r="E65" s="3">
        <v>1975</v>
      </c>
      <c r="F65" s="3">
        <v>775</v>
      </c>
      <c r="G65" s="3">
        <v>3611</v>
      </c>
      <c r="H65" s="3">
        <v>198</v>
      </c>
      <c r="I65" s="3">
        <v>3936</v>
      </c>
      <c r="J65" s="3">
        <v>10020</v>
      </c>
      <c r="K65" s="3">
        <v>159</v>
      </c>
      <c r="L65" s="3">
        <v>72</v>
      </c>
      <c r="M65" s="3">
        <v>121</v>
      </c>
      <c r="N65" s="3">
        <v>276</v>
      </c>
      <c r="O65" s="3">
        <v>142</v>
      </c>
      <c r="P65" s="3">
        <v>138</v>
      </c>
      <c r="Q65" s="3">
        <v>8</v>
      </c>
    </row>
    <row r="66" spans="2:17" ht="9">
      <c r="B66" s="9" t="s">
        <v>37</v>
      </c>
      <c r="C66" s="3">
        <v>743</v>
      </c>
      <c r="D66" s="3">
        <v>12402</v>
      </c>
      <c r="E66" s="3">
        <v>1634</v>
      </c>
      <c r="F66" s="3">
        <v>751</v>
      </c>
      <c r="G66" s="3">
        <v>2708</v>
      </c>
      <c r="H66" s="3">
        <v>93</v>
      </c>
      <c r="I66" s="3">
        <v>3329</v>
      </c>
      <c r="J66" s="3">
        <v>5386</v>
      </c>
      <c r="K66" s="3">
        <v>83</v>
      </c>
      <c r="L66" s="3">
        <v>30</v>
      </c>
      <c r="M66" s="3">
        <v>68</v>
      </c>
      <c r="N66" s="3">
        <v>183</v>
      </c>
      <c r="O66" s="3">
        <v>590</v>
      </c>
      <c r="P66" s="3">
        <v>109</v>
      </c>
      <c r="Q66" s="3">
        <v>23</v>
      </c>
    </row>
    <row r="67" spans="1:17" ht="9">
      <c r="A67" s="4" t="s">
        <v>28</v>
      </c>
      <c r="C67" s="3">
        <v>1908</v>
      </c>
      <c r="D67" s="3">
        <v>28298</v>
      </c>
      <c r="E67" s="3">
        <v>3609</v>
      </c>
      <c r="F67" s="3">
        <v>1526</v>
      </c>
      <c r="G67" s="3">
        <v>6319</v>
      </c>
      <c r="H67" s="3">
        <v>291</v>
      </c>
      <c r="I67" s="3">
        <v>7265</v>
      </c>
      <c r="J67" s="3">
        <v>15406</v>
      </c>
      <c r="K67" s="3">
        <v>242</v>
      </c>
      <c r="L67" s="3">
        <v>102</v>
      </c>
      <c r="M67" s="3">
        <v>189</v>
      </c>
      <c r="N67" s="3">
        <v>459</v>
      </c>
      <c r="O67" s="3">
        <v>732</v>
      </c>
      <c r="P67" s="3">
        <v>247</v>
      </c>
      <c r="Q67" s="3">
        <v>31</v>
      </c>
    </row>
    <row r="68" spans="2:17" s="6" customFormat="1" ht="9">
      <c r="B68" s="10" t="s">
        <v>160</v>
      </c>
      <c r="C68" s="7">
        <f>C67/35341</f>
        <v>0.05398828556068023</v>
      </c>
      <c r="D68" s="7">
        <f>D67/35341</f>
        <v>0.80071305282816</v>
      </c>
      <c r="E68" s="7">
        <f>E67/35341</f>
        <v>0.10211935146147534</v>
      </c>
      <c r="F68" s="7">
        <f>F67/35341</f>
        <v>0.0431793101496845</v>
      </c>
      <c r="G68" s="7">
        <f aca="true" t="shared" si="7" ref="G68:M68">G67/29814</f>
        <v>0.211947407258335</v>
      </c>
      <c r="H68" s="7">
        <f t="shared" si="7"/>
        <v>0.009760515194204065</v>
      </c>
      <c r="I68" s="7">
        <f t="shared" si="7"/>
        <v>0.24367746696183</v>
      </c>
      <c r="J68" s="7">
        <f t="shared" si="7"/>
        <v>0.5167371033742537</v>
      </c>
      <c r="K68" s="7">
        <f t="shared" si="7"/>
        <v>0.00811699201717314</v>
      </c>
      <c r="L68" s="7">
        <f t="shared" si="7"/>
        <v>0.003421211511370497</v>
      </c>
      <c r="M68" s="7">
        <f t="shared" si="7"/>
        <v>0.0063393036828335685</v>
      </c>
      <c r="N68" s="7">
        <f>N67/459</f>
        <v>1</v>
      </c>
      <c r="O68" s="7">
        <f>O67/732</f>
        <v>1</v>
      </c>
      <c r="P68" s="7">
        <v>1</v>
      </c>
      <c r="Q68" s="7">
        <f>Q67/31</f>
        <v>1</v>
      </c>
    </row>
    <row r="69" spans="2:17" ht="4.5" customHeight="1">
      <c r="B69" s="11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</row>
    <row r="70" spans="1:17" ht="9">
      <c r="A70" s="5" t="s">
        <v>57</v>
      </c>
      <c r="B70" s="11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</row>
    <row r="71" spans="2:17" ht="9">
      <c r="B71" s="9" t="s">
        <v>48</v>
      </c>
      <c r="C71" s="3">
        <v>2202</v>
      </c>
      <c r="D71" s="3">
        <v>27182</v>
      </c>
      <c r="E71" s="3">
        <v>3146</v>
      </c>
      <c r="F71" s="3">
        <v>1657</v>
      </c>
      <c r="G71" s="3">
        <v>4566</v>
      </c>
      <c r="H71" s="3">
        <v>140</v>
      </c>
      <c r="I71" s="3">
        <v>5426</v>
      </c>
      <c r="J71" s="3">
        <v>8851</v>
      </c>
      <c r="K71" s="3">
        <v>130</v>
      </c>
      <c r="L71" s="3">
        <v>39</v>
      </c>
      <c r="M71" s="3">
        <v>261</v>
      </c>
      <c r="N71" s="3">
        <v>276</v>
      </c>
      <c r="O71" s="3">
        <v>627</v>
      </c>
      <c r="P71" s="3">
        <v>170</v>
      </c>
      <c r="Q71" s="3">
        <v>39</v>
      </c>
    </row>
    <row r="72" spans="1:17" ht="9">
      <c r="A72" s="4" t="s">
        <v>28</v>
      </c>
      <c r="C72" s="3">
        <v>2202</v>
      </c>
      <c r="D72" s="3">
        <v>27182</v>
      </c>
      <c r="E72" s="3">
        <v>3146</v>
      </c>
      <c r="F72" s="3">
        <v>1657</v>
      </c>
      <c r="G72" s="3">
        <v>4566</v>
      </c>
      <c r="H72" s="3">
        <v>140</v>
      </c>
      <c r="I72" s="3">
        <v>5426</v>
      </c>
      <c r="J72" s="3">
        <v>8851</v>
      </c>
      <c r="K72" s="3">
        <v>130</v>
      </c>
      <c r="L72" s="3">
        <v>39</v>
      </c>
      <c r="M72" s="3">
        <v>261</v>
      </c>
      <c r="N72" s="3">
        <v>276</v>
      </c>
      <c r="O72" s="3">
        <v>627</v>
      </c>
      <c r="P72" s="3">
        <v>170</v>
      </c>
      <c r="Q72" s="3">
        <v>39</v>
      </c>
    </row>
    <row r="73" spans="2:17" s="6" customFormat="1" ht="9">
      <c r="B73" s="10" t="s">
        <v>160</v>
      </c>
      <c r="C73" s="7">
        <f>C72/34187</f>
        <v>0.06441044841606458</v>
      </c>
      <c r="D73" s="7">
        <f>D72/34187</f>
        <v>0.795097551700939</v>
      </c>
      <c r="E73" s="7">
        <f>E72/34187</f>
        <v>0.09202328370433206</v>
      </c>
      <c r="F73" s="7">
        <f>F72/34187</f>
        <v>0.048468716178664405</v>
      </c>
      <c r="G73" s="7">
        <f aca="true" t="shared" si="8" ref="G73:M73">G72/19413</f>
        <v>0.23520321434090558</v>
      </c>
      <c r="H73" s="7">
        <f t="shared" si="8"/>
        <v>0.00721166228815742</v>
      </c>
      <c r="I73" s="7">
        <f t="shared" si="8"/>
        <v>0.27950342553958685</v>
      </c>
      <c r="J73" s="7">
        <f t="shared" si="8"/>
        <v>0.45593159223200946</v>
      </c>
      <c r="K73" s="7">
        <f t="shared" si="8"/>
        <v>0.006696543553289033</v>
      </c>
      <c r="L73" s="7">
        <f t="shared" si="8"/>
        <v>0.00200896306598671</v>
      </c>
      <c r="M73" s="7">
        <f t="shared" si="8"/>
        <v>0.013444598980064905</v>
      </c>
      <c r="N73" s="7">
        <f>N72/276</f>
        <v>1</v>
      </c>
      <c r="O73" s="7">
        <f>O72/627</f>
        <v>1</v>
      </c>
      <c r="P73" s="7">
        <f>P72/170</f>
        <v>1</v>
      </c>
      <c r="Q73" s="7">
        <f>Q72/39</f>
        <v>1</v>
      </c>
    </row>
    <row r="74" spans="2:17" ht="4.5" customHeight="1">
      <c r="B74" s="11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</row>
    <row r="75" spans="1:17" ht="9">
      <c r="A75" s="5" t="s">
        <v>60</v>
      </c>
      <c r="B75" s="11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</row>
    <row r="76" spans="2:17" ht="9">
      <c r="B76" s="9" t="s">
        <v>58</v>
      </c>
      <c r="C76" s="3">
        <v>296</v>
      </c>
      <c r="D76" s="3">
        <v>2701</v>
      </c>
      <c r="E76" s="3">
        <v>357</v>
      </c>
      <c r="F76" s="3">
        <v>228</v>
      </c>
      <c r="G76" s="3">
        <v>1417</v>
      </c>
      <c r="H76" s="3">
        <v>20</v>
      </c>
      <c r="I76" s="3">
        <v>1067</v>
      </c>
      <c r="J76" s="3">
        <v>2732</v>
      </c>
      <c r="K76" s="3">
        <v>33</v>
      </c>
      <c r="L76" s="3">
        <v>13</v>
      </c>
      <c r="M76" s="3">
        <v>25</v>
      </c>
      <c r="N76" s="3">
        <v>82</v>
      </c>
      <c r="O76" s="3">
        <v>31</v>
      </c>
      <c r="P76" s="3">
        <v>44</v>
      </c>
      <c r="Q76" s="3">
        <v>6</v>
      </c>
    </row>
    <row r="77" spans="2:17" ht="9">
      <c r="B77" s="9" t="s">
        <v>47</v>
      </c>
      <c r="C77" s="3">
        <v>179</v>
      </c>
      <c r="D77" s="3">
        <v>1370</v>
      </c>
      <c r="E77" s="3">
        <v>210</v>
      </c>
      <c r="F77" s="3">
        <v>148</v>
      </c>
      <c r="G77" s="3">
        <v>1008</v>
      </c>
      <c r="H77" s="3">
        <v>13</v>
      </c>
      <c r="I77" s="3">
        <v>1440</v>
      </c>
      <c r="J77" s="3">
        <v>2623</v>
      </c>
      <c r="K77" s="3">
        <v>19</v>
      </c>
      <c r="L77" s="3">
        <v>3</v>
      </c>
      <c r="M77" s="3">
        <v>20</v>
      </c>
      <c r="N77" s="3">
        <v>50</v>
      </c>
      <c r="O77" s="3">
        <v>13</v>
      </c>
      <c r="P77" s="3">
        <v>17</v>
      </c>
      <c r="Q77" s="3">
        <v>0</v>
      </c>
    </row>
    <row r="78" spans="2:17" ht="9">
      <c r="B78" s="9" t="s">
        <v>48</v>
      </c>
      <c r="C78" s="3">
        <v>1334</v>
      </c>
      <c r="D78" s="3">
        <v>13863</v>
      </c>
      <c r="E78" s="3">
        <v>1883</v>
      </c>
      <c r="F78" s="3">
        <v>1226</v>
      </c>
      <c r="G78" s="3">
        <v>5326</v>
      </c>
      <c r="H78" s="3">
        <v>93</v>
      </c>
      <c r="I78" s="3">
        <v>6102</v>
      </c>
      <c r="J78" s="3">
        <v>12558</v>
      </c>
      <c r="K78" s="3">
        <v>138</v>
      </c>
      <c r="L78" s="3">
        <v>29</v>
      </c>
      <c r="M78" s="3">
        <v>165</v>
      </c>
      <c r="N78" s="3">
        <v>252</v>
      </c>
      <c r="O78" s="3">
        <v>175</v>
      </c>
      <c r="P78" s="3">
        <v>128</v>
      </c>
      <c r="Q78" s="3">
        <v>9</v>
      </c>
    </row>
    <row r="79" spans="2:17" ht="9">
      <c r="B79" s="9" t="s">
        <v>59</v>
      </c>
      <c r="C79" s="3">
        <v>677</v>
      </c>
      <c r="D79" s="3">
        <v>6844</v>
      </c>
      <c r="E79" s="3">
        <v>723</v>
      </c>
      <c r="F79" s="3">
        <v>439</v>
      </c>
      <c r="G79" s="3">
        <v>3551</v>
      </c>
      <c r="H79" s="3">
        <v>72</v>
      </c>
      <c r="I79" s="3">
        <v>3158</v>
      </c>
      <c r="J79" s="3">
        <v>7714</v>
      </c>
      <c r="K79" s="3">
        <v>101</v>
      </c>
      <c r="L79" s="3">
        <v>16</v>
      </c>
      <c r="M79" s="3">
        <v>100</v>
      </c>
      <c r="N79" s="3">
        <v>133</v>
      </c>
      <c r="O79" s="3">
        <v>39</v>
      </c>
      <c r="P79" s="3">
        <v>65</v>
      </c>
      <c r="Q79" s="3">
        <v>4</v>
      </c>
    </row>
    <row r="80" spans="1:17" ht="9">
      <c r="A80" s="4" t="s">
        <v>28</v>
      </c>
      <c r="C80" s="3">
        <v>2486</v>
      </c>
      <c r="D80" s="3">
        <v>24778</v>
      </c>
      <c r="E80" s="3">
        <v>3173</v>
      </c>
      <c r="F80" s="3">
        <v>2041</v>
      </c>
      <c r="G80" s="3">
        <v>11302</v>
      </c>
      <c r="H80" s="3">
        <v>198</v>
      </c>
      <c r="I80" s="3">
        <v>11767</v>
      </c>
      <c r="J80" s="3">
        <v>25627</v>
      </c>
      <c r="K80" s="3">
        <v>291</v>
      </c>
      <c r="L80" s="3">
        <v>61</v>
      </c>
      <c r="M80" s="3">
        <v>310</v>
      </c>
      <c r="N80" s="3">
        <v>517</v>
      </c>
      <c r="O80" s="3">
        <v>258</v>
      </c>
      <c r="P80" s="3">
        <v>254</v>
      </c>
      <c r="Q80" s="3">
        <v>19</v>
      </c>
    </row>
    <row r="81" spans="2:17" s="6" customFormat="1" ht="9">
      <c r="B81" s="10" t="s">
        <v>160</v>
      </c>
      <c r="C81" s="7">
        <f>C80/32478</f>
        <v>0.07654412217501078</v>
      </c>
      <c r="D81" s="7">
        <f>D80/32478</f>
        <v>0.7629164357411171</v>
      </c>
      <c r="E81" s="7">
        <f>E80/32478</f>
        <v>0.09769690251862799</v>
      </c>
      <c r="F81" s="7">
        <f>F80/32478</f>
        <v>0.06284253956524416</v>
      </c>
      <c r="G81" s="7">
        <f aca="true" t="shared" si="9" ref="G81:M81">G80/49556</f>
        <v>0.22806521914601663</v>
      </c>
      <c r="H81" s="7">
        <f t="shared" si="9"/>
        <v>0.003995479861167164</v>
      </c>
      <c r="I81" s="7">
        <f t="shared" si="9"/>
        <v>0.23744854306239405</v>
      </c>
      <c r="J81" s="7">
        <f t="shared" si="9"/>
        <v>0.5171321333440956</v>
      </c>
      <c r="K81" s="7">
        <f t="shared" si="9"/>
        <v>0.0058721446444426504</v>
      </c>
      <c r="L81" s="7">
        <f t="shared" si="9"/>
        <v>0.0012309306642989749</v>
      </c>
      <c r="M81" s="7">
        <f t="shared" si="9"/>
        <v>0.006255549277584954</v>
      </c>
      <c r="N81" s="7">
        <f>N80/517</f>
        <v>1</v>
      </c>
      <c r="O81" s="7">
        <f>O80/258</f>
        <v>1</v>
      </c>
      <c r="P81" s="7">
        <f>P80/254</f>
        <v>1</v>
      </c>
      <c r="Q81" s="7">
        <f>Q80/19</f>
        <v>1</v>
      </c>
    </row>
    <row r="82" spans="2:17" ht="4.5" customHeight="1">
      <c r="B82" s="11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</row>
    <row r="83" spans="1:17" ht="9">
      <c r="A83" s="5" t="s">
        <v>62</v>
      </c>
      <c r="B83" s="11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</row>
    <row r="84" spans="2:17" ht="9">
      <c r="B84" s="9" t="s">
        <v>61</v>
      </c>
      <c r="C84" s="3">
        <v>2814</v>
      </c>
      <c r="D84" s="3">
        <v>30125</v>
      </c>
      <c r="E84" s="3">
        <v>2396</v>
      </c>
      <c r="F84" s="3">
        <v>1253</v>
      </c>
      <c r="G84" s="3">
        <v>4876</v>
      </c>
      <c r="H84" s="3">
        <v>183</v>
      </c>
      <c r="I84" s="3">
        <v>4680</v>
      </c>
      <c r="J84" s="3">
        <v>14059</v>
      </c>
      <c r="K84" s="3">
        <v>180</v>
      </c>
      <c r="L84" s="3">
        <v>57</v>
      </c>
      <c r="M84" s="3">
        <v>163</v>
      </c>
      <c r="N84" s="3">
        <v>428</v>
      </c>
      <c r="O84" s="3">
        <v>340</v>
      </c>
      <c r="P84" s="3">
        <v>252</v>
      </c>
      <c r="Q84" s="3">
        <v>55</v>
      </c>
    </row>
    <row r="85" spans="1:17" ht="9">
      <c r="A85" s="4" t="s">
        <v>28</v>
      </c>
      <c r="C85" s="3">
        <v>2814</v>
      </c>
      <c r="D85" s="3">
        <v>30125</v>
      </c>
      <c r="E85" s="3">
        <v>2396</v>
      </c>
      <c r="F85" s="3">
        <v>1253</v>
      </c>
      <c r="G85" s="3">
        <v>4876</v>
      </c>
      <c r="H85" s="3">
        <v>183</v>
      </c>
      <c r="I85" s="3">
        <v>4680</v>
      </c>
      <c r="J85" s="3">
        <v>14059</v>
      </c>
      <c r="K85" s="3">
        <v>180</v>
      </c>
      <c r="L85" s="3">
        <v>57</v>
      </c>
      <c r="M85" s="3">
        <v>163</v>
      </c>
      <c r="N85" s="3">
        <v>428</v>
      </c>
      <c r="O85" s="3">
        <v>340</v>
      </c>
      <c r="P85" s="3">
        <v>252</v>
      </c>
      <c r="Q85" s="3">
        <v>55</v>
      </c>
    </row>
    <row r="86" spans="2:17" s="6" customFormat="1" ht="9">
      <c r="B86" s="10" t="s">
        <v>160</v>
      </c>
      <c r="C86" s="7">
        <f>C85/36588</f>
        <v>0.07691046244670384</v>
      </c>
      <c r="D86" s="7">
        <f>D85/36588</f>
        <v>0.8233573849349514</v>
      </c>
      <c r="E86" s="7">
        <f>E85/36588</f>
        <v>0.06548595167814585</v>
      </c>
      <c r="F86" s="7">
        <f>F85/36588</f>
        <v>0.03424620094019897</v>
      </c>
      <c r="G86" s="7">
        <f aca="true" t="shared" si="10" ref="G86:M86">G85/24198</f>
        <v>0.2015042565501281</v>
      </c>
      <c r="H86" s="7">
        <f t="shared" si="10"/>
        <v>0.007562608480039673</v>
      </c>
      <c r="I86" s="7">
        <f t="shared" si="10"/>
        <v>0.19340441358789984</v>
      </c>
      <c r="J86" s="7">
        <f t="shared" si="10"/>
        <v>0.5809984296222829</v>
      </c>
      <c r="K86" s="7">
        <f t="shared" si="10"/>
        <v>0.007438631291842301</v>
      </c>
      <c r="L86" s="7">
        <f t="shared" si="10"/>
        <v>0.002355566575750062</v>
      </c>
      <c r="M86" s="7">
        <f t="shared" si="10"/>
        <v>0.006736093892057195</v>
      </c>
      <c r="N86" s="7">
        <f>N85/428</f>
        <v>1</v>
      </c>
      <c r="O86" s="7">
        <f>O85/340</f>
        <v>1</v>
      </c>
      <c r="P86" s="7">
        <v>1</v>
      </c>
      <c r="Q86" s="7">
        <f>Q85/55</f>
        <v>1</v>
      </c>
    </row>
    <row r="87" spans="2:17" ht="4.5" customHeight="1">
      <c r="B87" s="11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</row>
    <row r="88" spans="1:17" ht="9">
      <c r="A88" s="5" t="s">
        <v>65</v>
      </c>
      <c r="B88" s="11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</row>
    <row r="89" spans="2:17" ht="9">
      <c r="B89" s="9" t="s">
        <v>63</v>
      </c>
      <c r="C89" s="3">
        <v>1281</v>
      </c>
      <c r="D89" s="3">
        <v>33799</v>
      </c>
      <c r="E89" s="3">
        <v>2303</v>
      </c>
      <c r="F89" s="3">
        <v>1118</v>
      </c>
      <c r="G89" s="3">
        <v>1850</v>
      </c>
      <c r="H89" s="3">
        <v>66</v>
      </c>
      <c r="I89" s="3">
        <v>4393</v>
      </c>
      <c r="J89" s="3">
        <v>5745</v>
      </c>
      <c r="K89" s="3">
        <v>93</v>
      </c>
      <c r="L89" s="3">
        <v>30</v>
      </c>
      <c r="M89" s="3">
        <v>58</v>
      </c>
      <c r="N89" s="3">
        <v>212</v>
      </c>
      <c r="O89" s="3">
        <v>1037</v>
      </c>
      <c r="P89" s="3">
        <v>184</v>
      </c>
      <c r="Q89" s="3">
        <v>34</v>
      </c>
    </row>
    <row r="90" spans="2:17" ht="9">
      <c r="B90" s="9" t="s">
        <v>64</v>
      </c>
      <c r="C90" s="3">
        <v>181</v>
      </c>
      <c r="D90" s="3">
        <v>3706</v>
      </c>
      <c r="E90" s="3">
        <v>291</v>
      </c>
      <c r="F90" s="3">
        <v>119</v>
      </c>
      <c r="G90" s="3">
        <v>258</v>
      </c>
      <c r="H90" s="3">
        <v>14</v>
      </c>
      <c r="I90" s="3">
        <v>380</v>
      </c>
      <c r="J90" s="3">
        <v>720</v>
      </c>
      <c r="K90" s="3">
        <v>12</v>
      </c>
      <c r="L90" s="3">
        <v>2</v>
      </c>
      <c r="M90" s="3">
        <v>8</v>
      </c>
      <c r="N90" s="3">
        <v>32</v>
      </c>
      <c r="O90" s="3">
        <v>38</v>
      </c>
      <c r="P90" s="3">
        <v>10</v>
      </c>
      <c r="Q90" s="3">
        <v>5</v>
      </c>
    </row>
    <row r="91" spans="1:17" ht="9">
      <c r="A91" s="4" t="s">
        <v>28</v>
      </c>
      <c r="C91" s="3">
        <v>1462</v>
      </c>
      <c r="D91" s="3">
        <v>37505</v>
      </c>
      <c r="E91" s="3">
        <v>2594</v>
      </c>
      <c r="F91" s="3">
        <v>1237</v>
      </c>
      <c r="G91" s="3">
        <v>2108</v>
      </c>
      <c r="H91" s="3">
        <v>80</v>
      </c>
      <c r="I91" s="3">
        <v>4773</v>
      </c>
      <c r="J91" s="3">
        <v>6465</v>
      </c>
      <c r="K91" s="3">
        <v>105</v>
      </c>
      <c r="L91" s="3">
        <v>32</v>
      </c>
      <c r="M91" s="3">
        <v>66</v>
      </c>
      <c r="N91" s="3">
        <v>244</v>
      </c>
      <c r="O91" s="3">
        <v>1075</v>
      </c>
      <c r="P91" s="3">
        <v>194</v>
      </c>
      <c r="Q91" s="3">
        <v>39</v>
      </c>
    </row>
    <row r="92" spans="2:17" s="6" customFormat="1" ht="9">
      <c r="B92" s="10" t="s">
        <v>160</v>
      </c>
      <c r="C92" s="7">
        <f>C91/42798</f>
        <v>0.03416047478854152</v>
      </c>
      <c r="D92" s="7">
        <f>D91/42798</f>
        <v>0.8763259965418945</v>
      </c>
      <c r="E92" s="7">
        <f>E91/42798</f>
        <v>0.060610308892938926</v>
      </c>
      <c r="F92" s="7">
        <f>F91/42798</f>
        <v>0.028903219776625078</v>
      </c>
      <c r="G92" s="7">
        <f aca="true" t="shared" si="11" ref="G92:M92">G91/13629</f>
        <v>0.15467018856849366</v>
      </c>
      <c r="H92" s="7">
        <f t="shared" si="11"/>
        <v>0.005869836378310954</v>
      </c>
      <c r="I92" s="7">
        <f t="shared" si="11"/>
        <v>0.35020911292097734</v>
      </c>
      <c r="J92" s="7">
        <f t="shared" si="11"/>
        <v>0.47435615232225403</v>
      </c>
      <c r="K92" s="7">
        <f t="shared" si="11"/>
        <v>0.007704160246533128</v>
      </c>
      <c r="L92" s="7">
        <f t="shared" si="11"/>
        <v>0.002347934551324382</v>
      </c>
      <c r="M92" s="7">
        <f t="shared" si="11"/>
        <v>0.004842615012106538</v>
      </c>
      <c r="N92" s="7">
        <f>N91/244</f>
        <v>1</v>
      </c>
      <c r="O92" s="7">
        <f>O91/1075</f>
        <v>1</v>
      </c>
      <c r="P92" s="7">
        <v>1</v>
      </c>
      <c r="Q92" s="7">
        <f>Q91/39</f>
        <v>1</v>
      </c>
    </row>
    <row r="93" spans="2:17" ht="4.5" customHeight="1">
      <c r="B93" s="11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</row>
    <row r="94" spans="1:17" ht="9">
      <c r="A94" s="5" t="s">
        <v>66</v>
      </c>
      <c r="B94" s="11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</row>
    <row r="95" spans="2:17" ht="9">
      <c r="B95" s="9" t="s">
        <v>63</v>
      </c>
      <c r="C95" s="3">
        <v>1651</v>
      </c>
      <c r="D95" s="3">
        <v>41469</v>
      </c>
      <c r="E95" s="3">
        <v>3214</v>
      </c>
      <c r="F95" s="3">
        <v>1833</v>
      </c>
      <c r="G95" s="3">
        <v>1204</v>
      </c>
      <c r="H95" s="3">
        <v>95</v>
      </c>
      <c r="I95" s="3">
        <v>5189</v>
      </c>
      <c r="J95" s="3">
        <v>4564</v>
      </c>
      <c r="K95" s="3">
        <v>99</v>
      </c>
      <c r="L95" s="3">
        <v>46</v>
      </c>
      <c r="M95" s="3">
        <v>67</v>
      </c>
      <c r="N95" s="3">
        <v>263</v>
      </c>
      <c r="O95" s="3">
        <v>2726</v>
      </c>
      <c r="P95" s="3">
        <v>310</v>
      </c>
      <c r="Q95" s="3">
        <v>46</v>
      </c>
    </row>
    <row r="96" spans="1:17" ht="9">
      <c r="A96" s="4" t="s">
        <v>28</v>
      </c>
      <c r="C96" s="3">
        <v>1651</v>
      </c>
      <c r="D96" s="3">
        <v>41469</v>
      </c>
      <c r="E96" s="3">
        <v>3214</v>
      </c>
      <c r="F96" s="3">
        <v>1833</v>
      </c>
      <c r="G96" s="3">
        <v>1204</v>
      </c>
      <c r="H96" s="3">
        <v>95</v>
      </c>
      <c r="I96" s="3">
        <v>5189</v>
      </c>
      <c r="J96" s="3">
        <v>4564</v>
      </c>
      <c r="K96" s="3">
        <v>99</v>
      </c>
      <c r="L96" s="3">
        <v>46</v>
      </c>
      <c r="M96" s="3">
        <v>67</v>
      </c>
      <c r="N96" s="3">
        <v>263</v>
      </c>
      <c r="O96" s="3">
        <v>2726</v>
      </c>
      <c r="P96" s="3">
        <v>310</v>
      </c>
      <c r="Q96" s="3">
        <v>46</v>
      </c>
    </row>
    <row r="97" spans="2:17" s="6" customFormat="1" ht="9">
      <c r="B97" s="10" t="s">
        <v>160</v>
      </c>
      <c r="C97" s="7">
        <f>C96/48167</f>
        <v>0.034276579400834596</v>
      </c>
      <c r="D97" s="7">
        <f>D96/48167</f>
        <v>0.8609421388087279</v>
      </c>
      <c r="E97" s="7">
        <f>E96/48167</f>
        <v>0.06672618182573131</v>
      </c>
      <c r="F97" s="7">
        <f>F96/48167</f>
        <v>0.03805509996470613</v>
      </c>
      <c r="G97" s="7">
        <f aca="true" t="shared" si="12" ref="G97:M97">G96/11264</f>
        <v>0.10688920454545454</v>
      </c>
      <c r="H97" s="7">
        <f t="shared" si="12"/>
        <v>0.008433948863636364</v>
      </c>
      <c r="I97" s="7">
        <f t="shared" si="12"/>
        <v>0.4606711647727273</v>
      </c>
      <c r="J97" s="7">
        <f t="shared" si="12"/>
        <v>0.4051846590909091</v>
      </c>
      <c r="K97" s="7">
        <f t="shared" si="12"/>
        <v>0.0087890625</v>
      </c>
      <c r="L97" s="7">
        <f t="shared" si="12"/>
        <v>0.004083806818181818</v>
      </c>
      <c r="M97" s="7">
        <f t="shared" si="12"/>
        <v>0.005948153409090909</v>
      </c>
      <c r="N97" s="7">
        <f>N96/263</f>
        <v>1</v>
      </c>
      <c r="O97" s="7">
        <f>O96/2726</f>
        <v>1</v>
      </c>
      <c r="P97" s="7">
        <v>1</v>
      </c>
      <c r="Q97" s="7">
        <f>Q96/46</f>
        <v>1</v>
      </c>
    </row>
    <row r="98" spans="2:17" ht="4.5" customHeight="1">
      <c r="B98" s="11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</row>
    <row r="99" spans="1:17" ht="9">
      <c r="A99" s="5" t="s">
        <v>68</v>
      </c>
      <c r="B99" s="11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</row>
    <row r="100" spans="2:17" ht="9">
      <c r="B100" s="9" t="s">
        <v>67</v>
      </c>
      <c r="C100" s="3">
        <v>1051</v>
      </c>
      <c r="D100" s="3">
        <v>21592</v>
      </c>
      <c r="E100" s="3">
        <v>1845</v>
      </c>
      <c r="F100" s="3">
        <v>1143</v>
      </c>
      <c r="G100" s="3">
        <v>556</v>
      </c>
      <c r="H100" s="3">
        <v>41</v>
      </c>
      <c r="I100" s="3">
        <v>1808</v>
      </c>
      <c r="J100" s="3">
        <v>1684</v>
      </c>
      <c r="K100" s="3">
        <v>39</v>
      </c>
      <c r="L100" s="3">
        <v>29</v>
      </c>
      <c r="M100" s="3">
        <v>34</v>
      </c>
      <c r="N100" s="3">
        <v>40</v>
      </c>
      <c r="O100" s="3">
        <v>1834</v>
      </c>
      <c r="P100" s="3">
        <v>117</v>
      </c>
      <c r="Q100" s="3">
        <v>38</v>
      </c>
    </row>
    <row r="101" spans="2:17" ht="9">
      <c r="B101" s="9" t="s">
        <v>61</v>
      </c>
      <c r="C101" s="3">
        <v>1379</v>
      </c>
      <c r="D101" s="3">
        <v>25157</v>
      </c>
      <c r="E101" s="3">
        <v>2193</v>
      </c>
      <c r="F101" s="3">
        <v>1169</v>
      </c>
      <c r="G101" s="3">
        <v>3151</v>
      </c>
      <c r="H101" s="3">
        <v>111</v>
      </c>
      <c r="I101" s="3">
        <v>6113</v>
      </c>
      <c r="J101" s="3">
        <v>8669</v>
      </c>
      <c r="K101" s="3">
        <v>105</v>
      </c>
      <c r="L101" s="3">
        <v>62</v>
      </c>
      <c r="M101" s="3">
        <v>91</v>
      </c>
      <c r="N101" s="3">
        <v>189</v>
      </c>
      <c r="O101" s="3">
        <v>602</v>
      </c>
      <c r="P101" s="3">
        <v>180</v>
      </c>
      <c r="Q101" s="3">
        <v>39</v>
      </c>
    </row>
    <row r="102" spans="1:17" ht="9">
      <c r="A102" s="4" t="s">
        <v>28</v>
      </c>
      <c r="C102" s="3">
        <v>2430</v>
      </c>
      <c r="D102" s="3">
        <v>46749</v>
      </c>
      <c r="E102" s="3">
        <v>4038</v>
      </c>
      <c r="F102" s="3">
        <v>2312</v>
      </c>
      <c r="G102" s="3">
        <v>3707</v>
      </c>
      <c r="H102" s="3">
        <v>152</v>
      </c>
      <c r="I102" s="3">
        <v>7921</v>
      </c>
      <c r="J102" s="3">
        <v>10353</v>
      </c>
      <c r="K102" s="3">
        <v>144</v>
      </c>
      <c r="L102" s="3">
        <v>91</v>
      </c>
      <c r="M102" s="3">
        <v>125</v>
      </c>
      <c r="N102" s="3">
        <v>229</v>
      </c>
      <c r="O102" s="3">
        <v>2436</v>
      </c>
      <c r="P102" s="3">
        <v>297</v>
      </c>
      <c r="Q102" s="3">
        <v>77</v>
      </c>
    </row>
    <row r="103" spans="2:17" s="6" customFormat="1" ht="9">
      <c r="B103" s="10" t="s">
        <v>160</v>
      </c>
      <c r="C103" s="7">
        <f>C102/55529</f>
        <v>0.04376091771866952</v>
      </c>
      <c r="D103" s="7">
        <f>D102/55529</f>
        <v>0.84188442075312</v>
      </c>
      <c r="E103" s="7">
        <f>E102/55529</f>
        <v>0.07271875956707306</v>
      </c>
      <c r="F103" s="7">
        <f>F102/55529</f>
        <v>0.04163590196113742</v>
      </c>
      <c r="G103" s="7">
        <f aca="true" t="shared" si="13" ref="G103:M103">G102/22493</f>
        <v>0.16480682879117947</v>
      </c>
      <c r="H103" s="7">
        <f t="shared" si="13"/>
        <v>0.006757657938025163</v>
      </c>
      <c r="I103" s="7">
        <f t="shared" si="13"/>
        <v>0.3521540034677455</v>
      </c>
      <c r="J103" s="7">
        <f t="shared" si="13"/>
        <v>0.46027653047614814</v>
      </c>
      <c r="K103" s="7">
        <f t="shared" si="13"/>
        <v>0.006401991730760681</v>
      </c>
      <c r="L103" s="7">
        <f t="shared" si="13"/>
        <v>0.004045703107633486</v>
      </c>
      <c r="M103" s="7">
        <f t="shared" si="13"/>
        <v>0.005557284488507536</v>
      </c>
      <c r="N103" s="7">
        <f>N102/229</f>
        <v>1</v>
      </c>
      <c r="O103" s="7">
        <f>O102/2436</f>
        <v>1</v>
      </c>
      <c r="P103" s="7">
        <f>P102/297</f>
        <v>1</v>
      </c>
      <c r="Q103" s="7">
        <f>Q102/77</f>
        <v>1</v>
      </c>
    </row>
    <row r="104" spans="2:17" ht="4.5" customHeight="1">
      <c r="B104" s="11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</row>
    <row r="105" spans="1:17" ht="9">
      <c r="A105" s="5" t="s">
        <v>69</v>
      </c>
      <c r="B105" s="11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</row>
    <row r="106" spans="2:17" ht="9">
      <c r="B106" s="9" t="s">
        <v>67</v>
      </c>
      <c r="C106" s="3">
        <v>462</v>
      </c>
      <c r="D106" s="3">
        <v>4182</v>
      </c>
      <c r="E106" s="3">
        <v>376</v>
      </c>
      <c r="F106" s="3">
        <v>261</v>
      </c>
      <c r="G106" s="3">
        <v>1274</v>
      </c>
      <c r="H106" s="3">
        <v>55</v>
      </c>
      <c r="I106" s="3">
        <v>1561</v>
      </c>
      <c r="J106" s="3">
        <v>4356</v>
      </c>
      <c r="K106" s="3">
        <v>67</v>
      </c>
      <c r="L106" s="3">
        <v>20</v>
      </c>
      <c r="M106" s="3">
        <v>32</v>
      </c>
      <c r="N106" s="3">
        <v>71</v>
      </c>
      <c r="O106" s="3">
        <v>37</v>
      </c>
      <c r="P106" s="3">
        <v>54</v>
      </c>
      <c r="Q106" s="3">
        <v>5</v>
      </c>
    </row>
    <row r="107" spans="2:17" ht="9">
      <c r="B107" s="9" t="s">
        <v>61</v>
      </c>
      <c r="C107" s="3">
        <v>1577</v>
      </c>
      <c r="D107" s="3">
        <v>18230</v>
      </c>
      <c r="E107" s="3">
        <v>1559</v>
      </c>
      <c r="F107" s="3">
        <v>731</v>
      </c>
      <c r="G107" s="3">
        <v>5500</v>
      </c>
      <c r="H107" s="3">
        <v>184</v>
      </c>
      <c r="I107" s="3">
        <v>8813</v>
      </c>
      <c r="J107" s="3">
        <v>17589</v>
      </c>
      <c r="K107" s="3">
        <v>125</v>
      </c>
      <c r="L107" s="3">
        <v>70</v>
      </c>
      <c r="M107" s="3">
        <v>133</v>
      </c>
      <c r="N107" s="3">
        <v>278</v>
      </c>
      <c r="O107" s="3">
        <v>202</v>
      </c>
      <c r="P107" s="3">
        <v>228</v>
      </c>
      <c r="Q107" s="3">
        <v>40</v>
      </c>
    </row>
    <row r="108" spans="2:17" ht="9">
      <c r="B108" s="9" t="s">
        <v>48</v>
      </c>
      <c r="C108" s="3">
        <v>541</v>
      </c>
      <c r="D108" s="3">
        <v>3506</v>
      </c>
      <c r="E108" s="3">
        <v>477</v>
      </c>
      <c r="F108" s="3">
        <v>287</v>
      </c>
      <c r="G108" s="3">
        <v>1907</v>
      </c>
      <c r="H108" s="3">
        <v>60</v>
      </c>
      <c r="I108" s="3">
        <v>1575</v>
      </c>
      <c r="J108" s="3">
        <v>4160</v>
      </c>
      <c r="K108" s="3">
        <v>32</v>
      </c>
      <c r="L108" s="3">
        <v>15</v>
      </c>
      <c r="M108" s="3">
        <v>38</v>
      </c>
      <c r="N108" s="3">
        <v>100</v>
      </c>
      <c r="O108" s="3">
        <v>35</v>
      </c>
      <c r="P108" s="3">
        <v>49</v>
      </c>
      <c r="Q108" s="3">
        <v>3</v>
      </c>
    </row>
    <row r="109" spans="2:17" ht="9">
      <c r="B109" s="9" t="s">
        <v>59</v>
      </c>
      <c r="C109" s="3">
        <v>84</v>
      </c>
      <c r="D109" s="3">
        <v>685</v>
      </c>
      <c r="E109" s="3">
        <v>69</v>
      </c>
      <c r="F109" s="3">
        <v>36</v>
      </c>
      <c r="G109" s="3">
        <v>220</v>
      </c>
      <c r="H109" s="3">
        <v>4</v>
      </c>
      <c r="I109" s="3">
        <v>166</v>
      </c>
      <c r="J109" s="3">
        <v>499</v>
      </c>
      <c r="K109" s="3">
        <v>15</v>
      </c>
      <c r="L109" s="3">
        <v>2</v>
      </c>
      <c r="M109" s="3">
        <v>11</v>
      </c>
      <c r="N109" s="3">
        <v>12</v>
      </c>
      <c r="O109" s="3">
        <v>8</v>
      </c>
      <c r="P109" s="3">
        <v>5</v>
      </c>
      <c r="Q109" s="3">
        <v>0</v>
      </c>
    </row>
    <row r="110" spans="1:17" ht="9">
      <c r="A110" s="4" t="s">
        <v>28</v>
      </c>
      <c r="C110" s="3">
        <v>2664</v>
      </c>
      <c r="D110" s="3">
        <v>26603</v>
      </c>
      <c r="E110" s="3">
        <v>2481</v>
      </c>
      <c r="F110" s="3">
        <v>1315</v>
      </c>
      <c r="G110" s="3">
        <v>8901</v>
      </c>
      <c r="H110" s="3">
        <v>303</v>
      </c>
      <c r="I110" s="3">
        <v>12115</v>
      </c>
      <c r="J110" s="3">
        <v>26604</v>
      </c>
      <c r="K110" s="3">
        <v>239</v>
      </c>
      <c r="L110" s="3">
        <v>107</v>
      </c>
      <c r="M110" s="3">
        <v>214</v>
      </c>
      <c r="N110" s="3">
        <v>461</v>
      </c>
      <c r="O110" s="3">
        <v>282</v>
      </c>
      <c r="P110" s="3">
        <v>336</v>
      </c>
      <c r="Q110" s="3">
        <v>48</v>
      </c>
    </row>
    <row r="111" spans="2:17" s="6" customFormat="1" ht="9">
      <c r="B111" s="10" t="s">
        <v>160</v>
      </c>
      <c r="C111" s="7">
        <f>C110/33063</f>
        <v>0.08057345068505581</v>
      </c>
      <c r="D111" s="7">
        <f>D110/33063</f>
        <v>0.804615431146599</v>
      </c>
      <c r="E111" s="7">
        <f>E110/33063</f>
        <v>0.07503856274385265</v>
      </c>
      <c r="F111" s="7">
        <f>F110/33063</f>
        <v>0.03977255542449264</v>
      </c>
      <c r="G111" s="7">
        <f aca="true" t="shared" si="14" ref="G111:M111">G110/48483</f>
        <v>0.18359012437349173</v>
      </c>
      <c r="H111" s="7">
        <f t="shared" si="14"/>
        <v>0.0062496132665057855</v>
      </c>
      <c r="I111" s="7">
        <f t="shared" si="14"/>
        <v>0.2498814017284409</v>
      </c>
      <c r="J111" s="7">
        <f t="shared" si="14"/>
        <v>0.5487284202710229</v>
      </c>
      <c r="K111" s="7">
        <f t="shared" si="14"/>
        <v>0.0049295629395870715</v>
      </c>
      <c r="L111" s="7">
        <f t="shared" si="14"/>
        <v>0.0022069591403172245</v>
      </c>
      <c r="M111" s="7">
        <f t="shared" si="14"/>
        <v>0.004413918280634449</v>
      </c>
      <c r="N111" s="7">
        <f>N110/461</f>
        <v>1</v>
      </c>
      <c r="O111" s="7">
        <f>O110/282</f>
        <v>1</v>
      </c>
      <c r="P111" s="7">
        <v>1</v>
      </c>
      <c r="Q111" s="7">
        <f>Q110/48</f>
        <v>1</v>
      </c>
    </row>
    <row r="112" spans="2:17" ht="4.5" customHeight="1">
      <c r="B112" s="11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</row>
    <row r="113" spans="1:17" ht="9">
      <c r="A113" s="5" t="s">
        <v>70</v>
      </c>
      <c r="B113" s="11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</row>
    <row r="114" spans="2:17" ht="9">
      <c r="B114" s="9" t="s">
        <v>67</v>
      </c>
      <c r="C114" s="3">
        <v>1431</v>
      </c>
      <c r="D114" s="3">
        <v>39347</v>
      </c>
      <c r="E114" s="3">
        <v>2841</v>
      </c>
      <c r="F114" s="3">
        <v>1398</v>
      </c>
      <c r="G114" s="3">
        <v>1367</v>
      </c>
      <c r="H114" s="3">
        <v>108</v>
      </c>
      <c r="I114" s="3">
        <v>3890</v>
      </c>
      <c r="J114" s="3">
        <v>5255</v>
      </c>
      <c r="K114" s="3">
        <v>56</v>
      </c>
      <c r="L114" s="3">
        <v>29</v>
      </c>
      <c r="M114" s="3">
        <v>175</v>
      </c>
      <c r="N114" s="3">
        <v>184</v>
      </c>
      <c r="O114" s="3">
        <v>1712</v>
      </c>
      <c r="P114" s="3">
        <v>181</v>
      </c>
      <c r="Q114" s="3">
        <v>54</v>
      </c>
    </row>
    <row r="115" spans="1:17" ht="9">
      <c r="A115" s="4" t="s">
        <v>28</v>
      </c>
      <c r="C115" s="3">
        <v>1431</v>
      </c>
      <c r="D115" s="3">
        <v>39347</v>
      </c>
      <c r="E115" s="3">
        <v>2841</v>
      </c>
      <c r="F115" s="3">
        <v>1398</v>
      </c>
      <c r="G115" s="3">
        <v>1367</v>
      </c>
      <c r="H115" s="3">
        <v>108</v>
      </c>
      <c r="I115" s="3">
        <v>3890</v>
      </c>
      <c r="J115" s="3">
        <v>5255</v>
      </c>
      <c r="K115" s="3">
        <v>56</v>
      </c>
      <c r="L115" s="3">
        <v>29</v>
      </c>
      <c r="M115" s="3">
        <v>175</v>
      </c>
      <c r="N115" s="3">
        <v>184</v>
      </c>
      <c r="O115" s="3">
        <v>1712</v>
      </c>
      <c r="P115" s="3">
        <v>181</v>
      </c>
      <c r="Q115" s="3">
        <v>54</v>
      </c>
    </row>
    <row r="116" spans="2:17" s="6" customFormat="1" ht="9">
      <c r="B116" s="10" t="s">
        <v>160</v>
      </c>
      <c r="C116" s="7">
        <f>C115/45017</f>
        <v>0.031787991203323186</v>
      </c>
      <c r="D116" s="7">
        <f>D115/45017</f>
        <v>0.8740475820245684</v>
      </c>
      <c r="E116" s="7">
        <f>E115/45017</f>
        <v>0.06310949196970034</v>
      </c>
      <c r="F116" s="7">
        <f>F115/45017</f>
        <v>0.03105493480240798</v>
      </c>
      <c r="G116" s="7">
        <f aca="true" t="shared" si="15" ref="G116:M116">G115/10880</f>
        <v>0.12564338235294117</v>
      </c>
      <c r="H116" s="7">
        <f t="shared" si="15"/>
        <v>0.009926470588235294</v>
      </c>
      <c r="I116" s="7">
        <f t="shared" si="15"/>
        <v>0.35753676470588236</v>
      </c>
      <c r="J116" s="7">
        <f t="shared" si="15"/>
        <v>0.48299632352941174</v>
      </c>
      <c r="K116" s="7">
        <f t="shared" si="15"/>
        <v>0.005147058823529412</v>
      </c>
      <c r="L116" s="7">
        <f t="shared" si="15"/>
        <v>0.0026654411764705883</v>
      </c>
      <c r="M116" s="7">
        <f t="shared" si="15"/>
        <v>0.01608455882352941</v>
      </c>
      <c r="N116" s="7">
        <f>N115/184</f>
        <v>1</v>
      </c>
      <c r="O116" s="7">
        <f>O115/1712</f>
        <v>1</v>
      </c>
      <c r="P116" s="7">
        <f>P115/181</f>
        <v>1</v>
      </c>
      <c r="Q116" s="7">
        <f>Q115/54</f>
        <v>1</v>
      </c>
    </row>
    <row r="117" spans="2:17" ht="4.5" customHeight="1">
      <c r="B117" s="11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</row>
    <row r="118" spans="1:17" ht="9">
      <c r="A118" s="5" t="s">
        <v>73</v>
      </c>
      <c r="B118" s="11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</row>
    <row r="119" spans="2:17" ht="9">
      <c r="B119" s="9" t="s">
        <v>71</v>
      </c>
      <c r="C119" s="3">
        <v>929</v>
      </c>
      <c r="D119" s="3">
        <v>10956</v>
      </c>
      <c r="E119" s="3">
        <v>1216</v>
      </c>
      <c r="F119" s="3">
        <v>507</v>
      </c>
      <c r="G119" s="3">
        <v>5095</v>
      </c>
      <c r="H119" s="3">
        <v>103</v>
      </c>
      <c r="I119" s="3">
        <v>1727</v>
      </c>
      <c r="J119" s="3">
        <v>5906</v>
      </c>
      <c r="K119" s="3">
        <v>147</v>
      </c>
      <c r="L119" s="3">
        <v>39</v>
      </c>
      <c r="M119" s="3">
        <v>110</v>
      </c>
      <c r="N119" s="3">
        <v>162</v>
      </c>
      <c r="O119" s="3">
        <v>69</v>
      </c>
      <c r="P119" s="3">
        <v>47</v>
      </c>
      <c r="Q119" s="3">
        <v>6</v>
      </c>
    </row>
    <row r="120" spans="2:17" ht="9">
      <c r="B120" s="9" t="s">
        <v>59</v>
      </c>
      <c r="C120" s="3">
        <v>620</v>
      </c>
      <c r="D120" s="3">
        <v>9596</v>
      </c>
      <c r="E120" s="3">
        <v>1154</v>
      </c>
      <c r="F120" s="3">
        <v>382</v>
      </c>
      <c r="G120" s="3">
        <v>1702</v>
      </c>
      <c r="H120" s="3">
        <v>69</v>
      </c>
      <c r="I120" s="3">
        <v>1492</v>
      </c>
      <c r="J120" s="3">
        <v>4225</v>
      </c>
      <c r="K120" s="3">
        <v>54</v>
      </c>
      <c r="L120" s="3">
        <v>19</v>
      </c>
      <c r="M120" s="3">
        <v>89</v>
      </c>
      <c r="N120" s="3">
        <v>119</v>
      </c>
      <c r="O120" s="3">
        <v>57</v>
      </c>
      <c r="P120" s="3">
        <v>67</v>
      </c>
      <c r="Q120" s="3">
        <v>5</v>
      </c>
    </row>
    <row r="121" spans="2:17" ht="9">
      <c r="B121" s="9" t="s">
        <v>72</v>
      </c>
      <c r="C121" s="3">
        <v>70</v>
      </c>
      <c r="D121" s="3">
        <v>619</v>
      </c>
      <c r="E121" s="3">
        <v>88</v>
      </c>
      <c r="F121" s="3">
        <v>35</v>
      </c>
      <c r="G121" s="3">
        <v>251</v>
      </c>
      <c r="H121" s="3">
        <v>3</v>
      </c>
      <c r="I121" s="3">
        <v>82</v>
      </c>
      <c r="J121" s="3">
        <v>265</v>
      </c>
      <c r="K121" s="3">
        <v>10</v>
      </c>
      <c r="L121" s="3">
        <v>3</v>
      </c>
      <c r="M121" s="3">
        <v>6</v>
      </c>
      <c r="N121" s="3">
        <v>5</v>
      </c>
      <c r="O121" s="3">
        <v>1</v>
      </c>
      <c r="P121" s="3">
        <v>7</v>
      </c>
      <c r="Q121" s="3">
        <v>0</v>
      </c>
    </row>
    <row r="122" spans="1:17" ht="9">
      <c r="A122" s="4" t="s">
        <v>28</v>
      </c>
      <c r="C122" s="3">
        <v>1619</v>
      </c>
      <c r="D122" s="3">
        <v>21171</v>
      </c>
      <c r="E122" s="3">
        <v>2458</v>
      </c>
      <c r="F122" s="3">
        <v>924</v>
      </c>
      <c r="G122" s="3">
        <v>7048</v>
      </c>
      <c r="H122" s="3">
        <v>175</v>
      </c>
      <c r="I122" s="3">
        <v>3301</v>
      </c>
      <c r="J122" s="3">
        <v>10396</v>
      </c>
      <c r="K122" s="3">
        <v>211</v>
      </c>
      <c r="L122" s="3">
        <v>61</v>
      </c>
      <c r="M122" s="3">
        <v>205</v>
      </c>
      <c r="N122" s="3">
        <v>286</v>
      </c>
      <c r="O122" s="3">
        <v>127</v>
      </c>
      <c r="P122" s="3">
        <v>121</v>
      </c>
      <c r="Q122" s="3">
        <v>11</v>
      </c>
    </row>
    <row r="123" spans="2:17" s="6" customFormat="1" ht="9">
      <c r="B123" s="10" t="s">
        <v>160</v>
      </c>
      <c r="C123" s="7">
        <f>C122/26172</f>
        <v>0.06186000305670182</v>
      </c>
      <c r="D123" s="7">
        <f>D122/26172</f>
        <v>0.8089179275561669</v>
      </c>
      <c r="E123" s="7">
        <f>E122/26172</f>
        <v>0.09391716338071221</v>
      </c>
      <c r="F123" s="7">
        <f>F122/26172</f>
        <v>0.03530490600641907</v>
      </c>
      <c r="G123" s="7">
        <f aca="true" t="shared" si="16" ref="G123:M123">G122/21397</f>
        <v>0.32939197083703325</v>
      </c>
      <c r="H123" s="7">
        <f t="shared" si="16"/>
        <v>0.008178716642519979</v>
      </c>
      <c r="I123" s="7">
        <f t="shared" si="16"/>
        <v>0.1542739636397626</v>
      </c>
      <c r="J123" s="7">
        <f t="shared" si="16"/>
        <v>0.4858625040893583</v>
      </c>
      <c r="K123" s="7">
        <f t="shared" si="16"/>
        <v>0.009861195494695519</v>
      </c>
      <c r="L123" s="7">
        <f t="shared" si="16"/>
        <v>0.002850866943964107</v>
      </c>
      <c r="M123" s="7">
        <f t="shared" si="16"/>
        <v>0.009580782352666262</v>
      </c>
      <c r="N123" s="7">
        <f>N122/286</f>
        <v>1</v>
      </c>
      <c r="O123" s="7">
        <f>O122/127</f>
        <v>1</v>
      </c>
      <c r="P123" s="7">
        <f>P122/121</f>
        <v>1</v>
      </c>
      <c r="Q123" s="7">
        <f>Q122/11</f>
        <v>1</v>
      </c>
    </row>
    <row r="124" spans="2:17" ht="4.5" customHeight="1">
      <c r="B124" s="11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</row>
    <row r="125" spans="1:17" ht="9">
      <c r="A125" s="5" t="s">
        <v>74</v>
      </c>
      <c r="B125" s="11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</row>
    <row r="126" spans="2:17" ht="9">
      <c r="B126" s="9" t="s">
        <v>67</v>
      </c>
      <c r="C126" s="3">
        <v>1777</v>
      </c>
      <c r="D126" s="3">
        <v>27073</v>
      </c>
      <c r="E126" s="3">
        <v>2272</v>
      </c>
      <c r="F126" s="3">
        <v>1392</v>
      </c>
      <c r="G126" s="3">
        <v>2663</v>
      </c>
      <c r="H126" s="3">
        <v>125</v>
      </c>
      <c r="I126" s="3">
        <v>3970</v>
      </c>
      <c r="J126" s="3">
        <v>10840</v>
      </c>
      <c r="K126" s="3">
        <v>148</v>
      </c>
      <c r="L126" s="3">
        <v>56</v>
      </c>
      <c r="M126" s="3">
        <v>124</v>
      </c>
      <c r="N126" s="3">
        <v>211</v>
      </c>
      <c r="O126" s="3">
        <v>314</v>
      </c>
      <c r="P126" s="3">
        <v>180</v>
      </c>
      <c r="Q126" s="3">
        <v>28</v>
      </c>
    </row>
    <row r="127" spans="1:17" ht="9">
      <c r="A127" s="4" t="s">
        <v>28</v>
      </c>
      <c r="C127" s="3">
        <v>1777</v>
      </c>
      <c r="D127" s="3">
        <v>27073</v>
      </c>
      <c r="E127" s="3">
        <v>2272</v>
      </c>
      <c r="F127" s="3">
        <v>1392</v>
      </c>
      <c r="G127" s="3">
        <v>2663</v>
      </c>
      <c r="H127" s="3">
        <v>125</v>
      </c>
      <c r="I127" s="3">
        <v>3970</v>
      </c>
      <c r="J127" s="3">
        <v>10840</v>
      </c>
      <c r="K127" s="3">
        <v>148</v>
      </c>
      <c r="L127" s="3">
        <v>56</v>
      </c>
      <c r="M127" s="3">
        <v>124</v>
      </c>
      <c r="N127" s="3">
        <v>211</v>
      </c>
      <c r="O127" s="3">
        <v>314</v>
      </c>
      <c r="P127" s="3">
        <v>180</v>
      </c>
      <c r="Q127" s="3">
        <v>28</v>
      </c>
    </row>
    <row r="128" spans="2:17" s="6" customFormat="1" ht="9">
      <c r="B128" s="10" t="s">
        <v>160</v>
      </c>
      <c r="C128" s="7">
        <f>C127/32514</f>
        <v>0.05465338008242603</v>
      </c>
      <c r="D128" s="7">
        <f>D127/32514</f>
        <v>0.8326567017284862</v>
      </c>
      <c r="E128" s="7">
        <f>E127/32514</f>
        <v>0.06987759119148675</v>
      </c>
      <c r="F128" s="7">
        <f>F127/32514</f>
        <v>0.042812326997601034</v>
      </c>
      <c r="G128" s="7">
        <f aca="true" t="shared" si="17" ref="G128:M128">G127/17926</f>
        <v>0.1485551712596229</v>
      </c>
      <c r="H128" s="7">
        <f t="shared" si="17"/>
        <v>0.006973111681356689</v>
      </c>
      <c r="I128" s="7">
        <f t="shared" si="17"/>
        <v>0.22146602699988843</v>
      </c>
      <c r="J128" s="7">
        <f t="shared" si="17"/>
        <v>0.6047082450072521</v>
      </c>
      <c r="K128" s="7">
        <f t="shared" si="17"/>
        <v>0.00825616423072632</v>
      </c>
      <c r="L128" s="7">
        <f t="shared" si="17"/>
        <v>0.0031239540332477964</v>
      </c>
      <c r="M128" s="7">
        <f t="shared" si="17"/>
        <v>0.006917326787905835</v>
      </c>
      <c r="N128" s="7">
        <f>N127/211</f>
        <v>1</v>
      </c>
      <c r="O128" s="7">
        <f>O127/314</f>
        <v>1</v>
      </c>
      <c r="P128" s="7">
        <f>P127/180</f>
        <v>1</v>
      </c>
      <c r="Q128" s="7">
        <f>Q127/28</f>
        <v>1</v>
      </c>
    </row>
    <row r="129" spans="2:17" ht="4.5" customHeight="1">
      <c r="B129" s="11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</row>
    <row r="130" spans="1:17" ht="9">
      <c r="A130" s="5" t="s">
        <v>75</v>
      </c>
      <c r="B130" s="11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</row>
    <row r="131" spans="2:17" ht="9">
      <c r="B131" s="9" t="s">
        <v>64</v>
      </c>
      <c r="C131" s="3">
        <v>2714</v>
      </c>
      <c r="D131" s="3">
        <v>32687</v>
      </c>
      <c r="E131" s="3">
        <v>2407</v>
      </c>
      <c r="F131" s="3">
        <v>1309</v>
      </c>
      <c r="G131" s="3">
        <v>3599</v>
      </c>
      <c r="H131" s="3">
        <v>141</v>
      </c>
      <c r="I131" s="3">
        <v>7243</v>
      </c>
      <c r="J131" s="3">
        <v>12547</v>
      </c>
      <c r="K131" s="3">
        <v>124</v>
      </c>
      <c r="L131" s="3">
        <v>46</v>
      </c>
      <c r="M131" s="3">
        <v>116</v>
      </c>
      <c r="N131" s="3">
        <v>284</v>
      </c>
      <c r="O131" s="3">
        <v>559</v>
      </c>
      <c r="P131" s="3">
        <v>252</v>
      </c>
      <c r="Q131" s="3">
        <v>28</v>
      </c>
    </row>
    <row r="132" spans="1:17" ht="9">
      <c r="A132" s="4" t="s">
        <v>28</v>
      </c>
      <c r="C132" s="3">
        <v>2714</v>
      </c>
      <c r="D132" s="3">
        <v>32687</v>
      </c>
      <c r="E132" s="3">
        <v>2407</v>
      </c>
      <c r="F132" s="3">
        <v>1309</v>
      </c>
      <c r="G132" s="3">
        <v>3599</v>
      </c>
      <c r="H132" s="3">
        <v>141</v>
      </c>
      <c r="I132" s="3">
        <v>7243</v>
      </c>
      <c r="J132" s="3">
        <v>12547</v>
      </c>
      <c r="K132" s="3">
        <v>124</v>
      </c>
      <c r="L132" s="3">
        <v>46</v>
      </c>
      <c r="M132" s="3">
        <v>116</v>
      </c>
      <c r="N132" s="3">
        <v>284</v>
      </c>
      <c r="O132" s="3">
        <v>559</v>
      </c>
      <c r="P132" s="3">
        <v>252</v>
      </c>
      <c r="Q132" s="3">
        <v>28</v>
      </c>
    </row>
    <row r="133" spans="2:17" s="6" customFormat="1" ht="9">
      <c r="B133" s="10" t="s">
        <v>160</v>
      </c>
      <c r="C133" s="7">
        <f>C132/39117</f>
        <v>0.0693815987933635</v>
      </c>
      <c r="D133" s="7">
        <f>D132/39117</f>
        <v>0.8356213411048905</v>
      </c>
      <c r="E133" s="7">
        <f>E132/39117</f>
        <v>0.06153334867193292</v>
      </c>
      <c r="F133" s="7">
        <f>F132/39117</f>
        <v>0.03346371142981312</v>
      </c>
      <c r="G133" s="7">
        <f aca="true" t="shared" si="18" ref="G133:M133">G132/23816</f>
        <v>0.15111689620423244</v>
      </c>
      <c r="H133" s="7">
        <f t="shared" si="18"/>
        <v>0.005920389654014108</v>
      </c>
      <c r="I133" s="7">
        <f t="shared" si="18"/>
        <v>0.30412327846825665</v>
      </c>
      <c r="J133" s="7">
        <f t="shared" si="18"/>
        <v>0.5268307020490427</v>
      </c>
      <c r="K133" s="7">
        <f t="shared" si="18"/>
        <v>0.0052065838092038965</v>
      </c>
      <c r="L133" s="7">
        <f t="shared" si="18"/>
        <v>0.0019314746388982198</v>
      </c>
      <c r="M133" s="7">
        <f t="shared" si="18"/>
        <v>0.0048706751763520325</v>
      </c>
      <c r="N133" s="7">
        <f>N132/284</f>
        <v>1</v>
      </c>
      <c r="O133" s="7">
        <f>O132/559</f>
        <v>1</v>
      </c>
      <c r="P133" s="7">
        <v>1</v>
      </c>
      <c r="Q133" s="7">
        <f>Q132/28</f>
        <v>1</v>
      </c>
    </row>
    <row r="134" spans="2:17" ht="4.5" customHeight="1">
      <c r="B134" s="11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</row>
    <row r="135" spans="1:17" ht="9">
      <c r="A135" s="5" t="s">
        <v>77</v>
      </c>
      <c r="B135" s="11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</row>
    <row r="136" spans="2:17" ht="9">
      <c r="B136" s="9" t="s">
        <v>67</v>
      </c>
      <c r="C136" s="3">
        <v>1140</v>
      </c>
      <c r="D136" s="3">
        <v>19175</v>
      </c>
      <c r="E136" s="3">
        <v>1568</v>
      </c>
      <c r="F136" s="3">
        <v>687</v>
      </c>
      <c r="G136" s="3">
        <v>2454</v>
      </c>
      <c r="H136" s="3">
        <v>105</v>
      </c>
      <c r="I136" s="3">
        <v>3817</v>
      </c>
      <c r="J136" s="3">
        <v>8828</v>
      </c>
      <c r="K136" s="3">
        <v>194</v>
      </c>
      <c r="L136" s="3">
        <v>50</v>
      </c>
      <c r="M136" s="3">
        <v>118</v>
      </c>
      <c r="N136" s="3">
        <v>166</v>
      </c>
      <c r="O136" s="3">
        <v>156</v>
      </c>
      <c r="P136" s="3">
        <v>184</v>
      </c>
      <c r="Q136" s="3">
        <v>15</v>
      </c>
    </row>
    <row r="137" spans="2:17" ht="9">
      <c r="B137" s="9" t="s">
        <v>76</v>
      </c>
      <c r="C137" s="3">
        <v>123</v>
      </c>
      <c r="D137" s="3">
        <v>2245</v>
      </c>
      <c r="E137" s="3">
        <v>201</v>
      </c>
      <c r="F137" s="3">
        <v>117</v>
      </c>
      <c r="G137" s="3">
        <v>431</v>
      </c>
      <c r="H137" s="3">
        <v>17</v>
      </c>
      <c r="I137" s="3">
        <v>549</v>
      </c>
      <c r="J137" s="3">
        <v>1053</v>
      </c>
      <c r="K137" s="3">
        <v>35</v>
      </c>
      <c r="L137" s="3">
        <v>11</v>
      </c>
      <c r="M137" s="3">
        <v>26</v>
      </c>
      <c r="N137" s="3">
        <v>36</v>
      </c>
      <c r="O137" s="3">
        <v>17</v>
      </c>
      <c r="P137" s="3">
        <v>25</v>
      </c>
      <c r="Q137" s="3">
        <v>1</v>
      </c>
    </row>
    <row r="138" spans="1:17" ht="9">
      <c r="A138" s="4" t="s">
        <v>28</v>
      </c>
      <c r="C138" s="3">
        <v>1263</v>
      </c>
      <c r="D138" s="3">
        <v>21420</v>
      </c>
      <c r="E138" s="3">
        <v>1769</v>
      </c>
      <c r="F138" s="3">
        <v>804</v>
      </c>
      <c r="G138" s="3">
        <v>2885</v>
      </c>
      <c r="H138" s="3">
        <v>122</v>
      </c>
      <c r="I138" s="3">
        <v>4366</v>
      </c>
      <c r="J138" s="3">
        <v>9881</v>
      </c>
      <c r="K138" s="3">
        <v>229</v>
      </c>
      <c r="L138" s="3">
        <v>61</v>
      </c>
      <c r="M138" s="3">
        <v>144</v>
      </c>
      <c r="N138" s="3">
        <v>202</v>
      </c>
      <c r="O138" s="3">
        <v>173</v>
      </c>
      <c r="P138" s="3">
        <v>209</v>
      </c>
      <c r="Q138" s="3">
        <v>16</v>
      </c>
    </row>
    <row r="139" spans="2:17" s="6" customFormat="1" ht="9">
      <c r="B139" s="10" t="s">
        <v>160</v>
      </c>
      <c r="C139" s="7">
        <f>C138/25256</f>
        <v>0.05000791891035793</v>
      </c>
      <c r="D139" s="7">
        <f>D138/25256</f>
        <v>0.8481152993348116</v>
      </c>
      <c r="E139" s="7">
        <f>E138/25256</f>
        <v>0.07004276211593284</v>
      </c>
      <c r="F139" s="7">
        <f>F138/25256</f>
        <v>0.03183401963889769</v>
      </c>
      <c r="G139" s="7">
        <f aca="true" t="shared" si="19" ref="G139:M139">G138/17688</f>
        <v>0.16310492989597467</v>
      </c>
      <c r="H139" s="7">
        <f t="shared" si="19"/>
        <v>0.006897331524197196</v>
      </c>
      <c r="I139" s="7">
        <f t="shared" si="19"/>
        <v>0.24683401175938488</v>
      </c>
      <c r="J139" s="7">
        <f t="shared" si="19"/>
        <v>0.5586273179556762</v>
      </c>
      <c r="K139" s="7">
        <f t="shared" si="19"/>
        <v>0.012946630483943917</v>
      </c>
      <c r="L139" s="7">
        <f t="shared" si="19"/>
        <v>0.003448665762098598</v>
      </c>
      <c r="M139" s="7">
        <f t="shared" si="19"/>
        <v>0.008141112618724558</v>
      </c>
      <c r="N139" s="7">
        <f>N138/202</f>
        <v>1</v>
      </c>
      <c r="O139" s="7">
        <f>O138/173</f>
        <v>1</v>
      </c>
      <c r="P139" s="7">
        <f>P138/209</f>
        <v>1</v>
      </c>
      <c r="Q139" s="7">
        <f>Q138/16</f>
        <v>1</v>
      </c>
    </row>
    <row r="140" spans="2:17" ht="4.5" customHeight="1">
      <c r="B140" s="11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</row>
    <row r="141" spans="1:17" ht="9">
      <c r="A141" s="5" t="s">
        <v>78</v>
      </c>
      <c r="B141" s="11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</row>
    <row r="142" spans="2:17" ht="9">
      <c r="B142" s="9" t="s">
        <v>64</v>
      </c>
      <c r="C142" s="3">
        <v>842</v>
      </c>
      <c r="D142" s="3">
        <v>14434</v>
      </c>
      <c r="E142" s="3">
        <v>1256</v>
      </c>
      <c r="F142" s="3">
        <v>673</v>
      </c>
      <c r="G142" s="3">
        <v>1693</v>
      </c>
      <c r="H142" s="3">
        <v>72</v>
      </c>
      <c r="I142" s="3">
        <v>5160</v>
      </c>
      <c r="J142" s="3">
        <v>7170</v>
      </c>
      <c r="K142" s="3">
        <v>103</v>
      </c>
      <c r="L142" s="3">
        <v>41</v>
      </c>
      <c r="M142" s="3">
        <v>81</v>
      </c>
      <c r="N142" s="3">
        <v>120</v>
      </c>
      <c r="O142" s="3">
        <v>293</v>
      </c>
      <c r="P142" s="3">
        <v>189</v>
      </c>
      <c r="Q142" s="3">
        <v>17</v>
      </c>
    </row>
    <row r="143" spans="2:17" ht="9">
      <c r="B143" s="9" t="s">
        <v>76</v>
      </c>
      <c r="C143" s="3">
        <v>968</v>
      </c>
      <c r="D143" s="3">
        <v>16228</v>
      </c>
      <c r="E143" s="3">
        <v>1248</v>
      </c>
      <c r="F143" s="3">
        <v>731</v>
      </c>
      <c r="G143" s="3">
        <v>2223</v>
      </c>
      <c r="H143" s="3">
        <v>102</v>
      </c>
      <c r="I143" s="3">
        <v>7245</v>
      </c>
      <c r="J143" s="3">
        <v>10162</v>
      </c>
      <c r="K143" s="3">
        <v>103</v>
      </c>
      <c r="L143" s="3">
        <v>75</v>
      </c>
      <c r="M143" s="3">
        <v>159</v>
      </c>
      <c r="N143" s="3">
        <v>77</v>
      </c>
      <c r="O143" s="3">
        <v>339</v>
      </c>
      <c r="P143" s="3">
        <v>242</v>
      </c>
      <c r="Q143" s="3">
        <v>27</v>
      </c>
    </row>
    <row r="144" spans="1:17" ht="9">
      <c r="A144" s="4" t="s">
        <v>28</v>
      </c>
      <c r="C144" s="3">
        <v>1810</v>
      </c>
      <c r="D144" s="3">
        <v>30662</v>
      </c>
      <c r="E144" s="3">
        <v>2504</v>
      </c>
      <c r="F144" s="3">
        <v>1404</v>
      </c>
      <c r="G144" s="3">
        <v>3916</v>
      </c>
      <c r="H144" s="3">
        <v>174</v>
      </c>
      <c r="I144" s="3">
        <v>12405</v>
      </c>
      <c r="J144" s="3">
        <v>17332</v>
      </c>
      <c r="K144" s="3">
        <v>206</v>
      </c>
      <c r="L144" s="3">
        <v>116</v>
      </c>
      <c r="M144" s="3">
        <v>240</v>
      </c>
      <c r="N144" s="3">
        <v>197</v>
      </c>
      <c r="O144" s="3">
        <v>632</v>
      </c>
      <c r="P144" s="3">
        <v>431</v>
      </c>
      <c r="Q144" s="3">
        <v>44</v>
      </c>
    </row>
    <row r="145" spans="2:17" s="6" customFormat="1" ht="9">
      <c r="B145" s="10" t="s">
        <v>160</v>
      </c>
      <c r="C145" s="7">
        <f>C144/36380</f>
        <v>0.049752611324903794</v>
      </c>
      <c r="D145" s="7">
        <f>D144/36380</f>
        <v>0.84282572842221</v>
      </c>
      <c r="E145" s="7">
        <f>E144/36380</f>
        <v>0.06882902693787796</v>
      </c>
      <c r="F145" s="7">
        <f>F144/36380</f>
        <v>0.03859263331500824</v>
      </c>
      <c r="G145" s="7">
        <f aca="true" t="shared" si="20" ref="G145:M145">G144/34389</f>
        <v>0.11387362237924918</v>
      </c>
      <c r="H145" s="7">
        <f t="shared" si="20"/>
        <v>0.005059757480589723</v>
      </c>
      <c r="I145" s="7">
        <f t="shared" si="20"/>
        <v>0.3607258134868708</v>
      </c>
      <c r="J145" s="7">
        <f t="shared" si="20"/>
        <v>0.5039983715723051</v>
      </c>
      <c r="K145" s="7">
        <f t="shared" si="20"/>
        <v>0.005990287591962546</v>
      </c>
      <c r="L145" s="7">
        <f t="shared" si="20"/>
        <v>0.003373171653726482</v>
      </c>
      <c r="M145" s="7">
        <f t="shared" si="20"/>
        <v>0.00697897583529617</v>
      </c>
      <c r="N145" s="7">
        <f>N144/197</f>
        <v>1</v>
      </c>
      <c r="O145" s="7">
        <f>O144/632</f>
        <v>1</v>
      </c>
      <c r="P145" s="7">
        <v>1</v>
      </c>
      <c r="Q145" s="7">
        <f>Q144/44</f>
        <v>1</v>
      </c>
    </row>
    <row r="146" spans="2:17" ht="4.5" customHeight="1">
      <c r="B146" s="11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</row>
    <row r="147" spans="1:17" ht="9">
      <c r="A147" s="5" t="s">
        <v>79</v>
      </c>
      <c r="B147" s="11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</row>
    <row r="148" spans="2:17" ht="9">
      <c r="B148" s="9" t="s">
        <v>76</v>
      </c>
      <c r="C148" s="3">
        <v>1725</v>
      </c>
      <c r="D148" s="3">
        <v>23507</v>
      </c>
      <c r="E148" s="3">
        <v>1874</v>
      </c>
      <c r="F148" s="3">
        <v>1518</v>
      </c>
      <c r="G148" s="3">
        <v>3159</v>
      </c>
      <c r="H148" s="3">
        <v>251</v>
      </c>
      <c r="I148" s="3">
        <v>6378</v>
      </c>
      <c r="J148" s="3">
        <v>10996</v>
      </c>
      <c r="K148" s="3">
        <v>205</v>
      </c>
      <c r="L148" s="3">
        <v>84</v>
      </c>
      <c r="M148" s="3">
        <v>250</v>
      </c>
      <c r="N148" s="3">
        <v>246</v>
      </c>
      <c r="O148" s="3">
        <v>423</v>
      </c>
      <c r="P148" s="3">
        <v>401</v>
      </c>
      <c r="Q148" s="3">
        <v>39</v>
      </c>
    </row>
    <row r="149" spans="1:17" ht="9">
      <c r="A149" s="4" t="s">
        <v>28</v>
      </c>
      <c r="C149" s="3">
        <v>1725</v>
      </c>
      <c r="D149" s="3">
        <v>23507</v>
      </c>
      <c r="E149" s="3">
        <v>1874</v>
      </c>
      <c r="F149" s="3">
        <v>1518</v>
      </c>
      <c r="G149" s="3">
        <v>3159</v>
      </c>
      <c r="H149" s="3">
        <v>251</v>
      </c>
      <c r="I149" s="3">
        <v>6378</v>
      </c>
      <c r="J149" s="3">
        <v>10996</v>
      </c>
      <c r="K149" s="3">
        <v>205</v>
      </c>
      <c r="L149" s="3">
        <v>84</v>
      </c>
      <c r="M149" s="3">
        <v>250</v>
      </c>
      <c r="N149" s="3">
        <v>246</v>
      </c>
      <c r="O149" s="3">
        <v>423</v>
      </c>
      <c r="P149" s="3">
        <v>401</v>
      </c>
      <c r="Q149" s="3">
        <v>39</v>
      </c>
    </row>
    <row r="150" spans="2:17" s="6" customFormat="1" ht="9">
      <c r="B150" s="10" t="s">
        <v>160</v>
      </c>
      <c r="C150" s="7">
        <f>C149/28624</f>
        <v>0.06026411403018446</v>
      </c>
      <c r="D150" s="7">
        <f>D149/28624</f>
        <v>0.821233929569592</v>
      </c>
      <c r="E150" s="7">
        <f>E149/28624</f>
        <v>0.06546953605366126</v>
      </c>
      <c r="F150" s="7">
        <f>F149/28624</f>
        <v>0.053032420346562324</v>
      </c>
      <c r="G150" s="7">
        <f aca="true" t="shared" si="21" ref="G150:M150">G149/21323</f>
        <v>0.1481498851005956</v>
      </c>
      <c r="H150" s="7">
        <f t="shared" si="21"/>
        <v>0.011771326736387937</v>
      </c>
      <c r="I150" s="7">
        <f t="shared" si="21"/>
        <v>0.2991136331660648</v>
      </c>
      <c r="J150" s="7">
        <f t="shared" si="21"/>
        <v>0.5156872860291704</v>
      </c>
      <c r="K150" s="7">
        <f t="shared" si="21"/>
        <v>0.009614031796651504</v>
      </c>
      <c r="L150" s="7">
        <f t="shared" si="21"/>
        <v>0.003939408150823055</v>
      </c>
      <c r="M150" s="7">
        <f t="shared" si="21"/>
        <v>0.011724429020306711</v>
      </c>
      <c r="N150" s="7">
        <f>N149/246</f>
        <v>1</v>
      </c>
      <c r="O150" s="7">
        <f>O149/423</f>
        <v>1</v>
      </c>
      <c r="P150" s="7">
        <v>1</v>
      </c>
      <c r="Q150" s="7">
        <f>Q149/39</f>
        <v>1</v>
      </c>
    </row>
    <row r="151" spans="2:17" ht="4.5" customHeight="1">
      <c r="B151" s="11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</row>
    <row r="152" spans="1:17" ht="9">
      <c r="A152" s="5" t="s">
        <v>80</v>
      </c>
      <c r="B152" s="11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</row>
    <row r="153" spans="2:17" ht="9">
      <c r="B153" s="9" t="s">
        <v>76</v>
      </c>
      <c r="C153" s="3">
        <v>1723</v>
      </c>
      <c r="D153" s="3">
        <v>16405</v>
      </c>
      <c r="E153" s="3">
        <v>1796</v>
      </c>
      <c r="F153" s="3">
        <v>623</v>
      </c>
      <c r="G153" s="3">
        <v>1695</v>
      </c>
      <c r="H153" s="3">
        <v>109</v>
      </c>
      <c r="I153" s="3">
        <v>2816</v>
      </c>
      <c r="J153" s="3">
        <v>5150</v>
      </c>
      <c r="K153" s="3">
        <v>147</v>
      </c>
      <c r="L153" s="3">
        <v>64</v>
      </c>
      <c r="M153" s="3">
        <v>229</v>
      </c>
      <c r="N153" s="3">
        <v>178</v>
      </c>
      <c r="O153" s="3">
        <v>185</v>
      </c>
      <c r="P153" s="3">
        <v>135</v>
      </c>
      <c r="Q153" s="3">
        <v>14</v>
      </c>
    </row>
    <row r="154" spans="1:17" ht="9">
      <c r="A154" s="4" t="s">
        <v>28</v>
      </c>
      <c r="C154" s="3">
        <v>1723</v>
      </c>
      <c r="D154" s="3">
        <v>16405</v>
      </c>
      <c r="E154" s="3">
        <v>1796</v>
      </c>
      <c r="F154" s="3">
        <v>623</v>
      </c>
      <c r="G154" s="3">
        <v>1695</v>
      </c>
      <c r="H154" s="3">
        <v>109</v>
      </c>
      <c r="I154" s="3">
        <v>2816</v>
      </c>
      <c r="J154" s="3">
        <v>5150</v>
      </c>
      <c r="K154" s="3">
        <v>147</v>
      </c>
      <c r="L154" s="3">
        <v>64</v>
      </c>
      <c r="M154" s="3">
        <v>229</v>
      </c>
      <c r="N154" s="3">
        <v>178</v>
      </c>
      <c r="O154" s="3">
        <v>185</v>
      </c>
      <c r="P154" s="3">
        <v>135</v>
      </c>
      <c r="Q154" s="3">
        <v>14</v>
      </c>
    </row>
    <row r="155" spans="2:17" s="6" customFormat="1" ht="9">
      <c r="B155" s="10" t="s">
        <v>160</v>
      </c>
      <c r="C155" s="7">
        <f>C154/20547</f>
        <v>0.08385652406677374</v>
      </c>
      <c r="D155" s="7">
        <f>D154/20547</f>
        <v>0.7984133936827761</v>
      </c>
      <c r="E155" s="7">
        <f>E154/20547</f>
        <v>0.08740935416362486</v>
      </c>
      <c r="F155" s="7">
        <f>F154/20547</f>
        <v>0.030320728086825326</v>
      </c>
      <c r="G155" s="7">
        <f aca="true" t="shared" si="22" ref="G155:M155">G154/10210</f>
        <v>0.16601371204701273</v>
      </c>
      <c r="H155" s="7">
        <f t="shared" si="22"/>
        <v>0.010675808031341822</v>
      </c>
      <c r="I155" s="7">
        <f t="shared" si="22"/>
        <v>0.27580803134182175</v>
      </c>
      <c r="J155" s="7">
        <f t="shared" si="22"/>
        <v>0.5044074436826641</v>
      </c>
      <c r="K155" s="7">
        <f t="shared" si="22"/>
        <v>0.014397649363369246</v>
      </c>
      <c r="L155" s="7">
        <f t="shared" si="22"/>
        <v>0.006268364348677767</v>
      </c>
      <c r="M155" s="7">
        <f t="shared" si="22"/>
        <v>0.022428991185112636</v>
      </c>
      <c r="N155" s="7">
        <f>N154/178</f>
        <v>1</v>
      </c>
      <c r="O155" s="7">
        <f>O154/185</f>
        <v>1</v>
      </c>
      <c r="P155" s="7">
        <f>P154/135</f>
        <v>1</v>
      </c>
      <c r="Q155" s="7">
        <f>Q154/14</f>
        <v>1</v>
      </c>
    </row>
    <row r="156" spans="2:17" ht="4.5" customHeight="1">
      <c r="B156" s="11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</row>
    <row r="157" spans="1:17" ht="9">
      <c r="A157" s="5" t="s">
        <v>81</v>
      </c>
      <c r="B157" s="11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</row>
    <row r="158" spans="2:17" ht="9">
      <c r="B158" s="9" t="s">
        <v>76</v>
      </c>
      <c r="C158" s="3">
        <v>1936</v>
      </c>
      <c r="D158" s="3">
        <v>27083</v>
      </c>
      <c r="E158" s="3">
        <v>2482</v>
      </c>
      <c r="F158" s="3">
        <v>1396</v>
      </c>
      <c r="G158" s="3">
        <v>3738</v>
      </c>
      <c r="H158" s="3">
        <v>187</v>
      </c>
      <c r="I158" s="3">
        <v>7678</v>
      </c>
      <c r="J158" s="3">
        <v>15508</v>
      </c>
      <c r="K158" s="3">
        <v>228</v>
      </c>
      <c r="L158" s="3">
        <v>51</v>
      </c>
      <c r="M158" s="3">
        <v>275</v>
      </c>
      <c r="N158" s="3">
        <v>310</v>
      </c>
      <c r="O158" s="3">
        <v>338</v>
      </c>
      <c r="P158" s="3">
        <v>357</v>
      </c>
      <c r="Q158" s="3">
        <v>38</v>
      </c>
    </row>
    <row r="159" spans="1:17" ht="9">
      <c r="A159" s="4" t="s">
        <v>28</v>
      </c>
      <c r="C159" s="3">
        <v>1936</v>
      </c>
      <c r="D159" s="3">
        <v>27083</v>
      </c>
      <c r="E159" s="3">
        <v>2482</v>
      </c>
      <c r="F159" s="3">
        <v>1396</v>
      </c>
      <c r="G159" s="3">
        <v>3738</v>
      </c>
      <c r="H159" s="3">
        <v>187</v>
      </c>
      <c r="I159" s="3">
        <v>7678</v>
      </c>
      <c r="J159" s="3">
        <v>15508</v>
      </c>
      <c r="K159" s="3">
        <v>228</v>
      </c>
      <c r="L159" s="3">
        <v>51</v>
      </c>
      <c r="M159" s="3">
        <v>275</v>
      </c>
      <c r="N159" s="3">
        <v>310</v>
      </c>
      <c r="O159" s="3">
        <v>338</v>
      </c>
      <c r="P159" s="3">
        <v>357</v>
      </c>
      <c r="Q159" s="3">
        <v>38</v>
      </c>
    </row>
    <row r="160" spans="2:17" s="6" customFormat="1" ht="9">
      <c r="B160" s="10" t="s">
        <v>160</v>
      </c>
      <c r="C160" s="7">
        <f>C159/32897</f>
        <v>0.058850351095844605</v>
      </c>
      <c r="D160" s="7">
        <f>D159/32897</f>
        <v>0.8232665592607229</v>
      </c>
      <c r="E160" s="7">
        <f>E159/32897</f>
        <v>0.07544760920448673</v>
      </c>
      <c r="F160" s="7">
        <f>F159/32897</f>
        <v>0.0424354804389458</v>
      </c>
      <c r="G160" s="7">
        <f aca="true" t="shared" si="23" ref="G160:M160">G159/27665</f>
        <v>0.13511657328754745</v>
      </c>
      <c r="H160" s="7">
        <f t="shared" si="23"/>
        <v>0.006759443339960238</v>
      </c>
      <c r="I160" s="7">
        <f t="shared" si="23"/>
        <v>0.2775347912524851</v>
      </c>
      <c r="J160" s="7">
        <f t="shared" si="23"/>
        <v>0.5605638893909272</v>
      </c>
      <c r="K160" s="7">
        <f t="shared" si="23"/>
        <v>0.008241460328935479</v>
      </c>
      <c r="L160" s="7">
        <f t="shared" si="23"/>
        <v>0.0018434845472618832</v>
      </c>
      <c r="M160" s="7">
        <f t="shared" si="23"/>
        <v>0.009940357852882704</v>
      </c>
      <c r="N160" s="7">
        <f>N159/310</f>
        <v>1</v>
      </c>
      <c r="O160" s="7">
        <f>O159/338</f>
        <v>1</v>
      </c>
      <c r="P160" s="7">
        <v>1</v>
      </c>
      <c r="Q160" s="7">
        <f>Q159/38</f>
        <v>1</v>
      </c>
    </row>
    <row r="161" spans="2:17" ht="4.5" customHeight="1">
      <c r="B161" s="11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</row>
    <row r="162" spans="1:17" ht="9">
      <c r="A162" s="5" t="s">
        <v>87</v>
      </c>
      <c r="B162" s="11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</row>
    <row r="163" spans="2:17" ht="9">
      <c r="B163" s="9" t="s">
        <v>82</v>
      </c>
      <c r="C163" s="3">
        <v>342</v>
      </c>
      <c r="D163" s="3">
        <v>3314</v>
      </c>
      <c r="E163" s="3">
        <v>524</v>
      </c>
      <c r="F163" s="3">
        <v>203</v>
      </c>
      <c r="G163" s="3">
        <v>1789</v>
      </c>
      <c r="H163" s="3">
        <v>71</v>
      </c>
      <c r="I163" s="3">
        <v>1097</v>
      </c>
      <c r="J163" s="3">
        <v>3430</v>
      </c>
      <c r="K163" s="3">
        <v>57</v>
      </c>
      <c r="L163" s="3">
        <v>13</v>
      </c>
      <c r="M163" s="3">
        <v>54</v>
      </c>
      <c r="N163" s="3">
        <v>111</v>
      </c>
      <c r="O163" s="3">
        <v>91</v>
      </c>
      <c r="P163" s="3">
        <v>116</v>
      </c>
      <c r="Q163" s="3">
        <v>14</v>
      </c>
    </row>
    <row r="164" spans="2:17" ht="9">
      <c r="B164" s="9" t="s">
        <v>83</v>
      </c>
      <c r="C164" s="3">
        <v>366</v>
      </c>
      <c r="D164" s="3">
        <v>2202</v>
      </c>
      <c r="E164" s="3">
        <v>292</v>
      </c>
      <c r="F164" s="3">
        <v>222</v>
      </c>
      <c r="G164" s="3">
        <v>3471</v>
      </c>
      <c r="H164" s="3">
        <v>28</v>
      </c>
      <c r="I164" s="3">
        <v>707</v>
      </c>
      <c r="J164" s="3">
        <v>2697</v>
      </c>
      <c r="K164" s="3">
        <v>54</v>
      </c>
      <c r="L164" s="3">
        <v>9</v>
      </c>
      <c r="M164" s="3">
        <v>28</v>
      </c>
      <c r="N164" s="3">
        <v>86</v>
      </c>
      <c r="O164" s="3">
        <v>44</v>
      </c>
      <c r="P164" s="3">
        <v>48</v>
      </c>
      <c r="Q164" s="3">
        <v>4</v>
      </c>
    </row>
    <row r="165" spans="2:17" ht="9">
      <c r="B165" s="9" t="s">
        <v>84</v>
      </c>
      <c r="C165" s="3">
        <v>153</v>
      </c>
      <c r="D165" s="3">
        <v>1362</v>
      </c>
      <c r="E165" s="3">
        <v>171</v>
      </c>
      <c r="F165" s="3">
        <v>83</v>
      </c>
      <c r="G165" s="3">
        <v>1338</v>
      </c>
      <c r="H165" s="3">
        <v>20</v>
      </c>
      <c r="I165" s="3">
        <v>371</v>
      </c>
      <c r="J165" s="3">
        <v>1326</v>
      </c>
      <c r="K165" s="3">
        <v>26</v>
      </c>
      <c r="L165" s="3">
        <v>5</v>
      </c>
      <c r="M165" s="3">
        <v>14</v>
      </c>
      <c r="N165" s="3">
        <v>51</v>
      </c>
      <c r="O165" s="3">
        <v>44</v>
      </c>
      <c r="P165" s="3">
        <v>32</v>
      </c>
      <c r="Q165" s="3">
        <v>3</v>
      </c>
    </row>
    <row r="166" spans="2:17" ht="9">
      <c r="B166" s="9" t="s">
        <v>85</v>
      </c>
      <c r="C166" s="3">
        <v>35</v>
      </c>
      <c r="D166" s="3">
        <v>612</v>
      </c>
      <c r="E166" s="3">
        <v>84</v>
      </c>
      <c r="F166" s="3">
        <v>31</v>
      </c>
      <c r="G166" s="3">
        <v>237</v>
      </c>
      <c r="H166" s="3">
        <v>14</v>
      </c>
      <c r="I166" s="3">
        <v>420</v>
      </c>
      <c r="J166" s="3">
        <v>572</v>
      </c>
      <c r="K166" s="3">
        <v>24</v>
      </c>
      <c r="L166" s="3">
        <v>3</v>
      </c>
      <c r="M166" s="3">
        <v>10</v>
      </c>
      <c r="N166" s="3">
        <v>28</v>
      </c>
      <c r="O166" s="3">
        <v>21</v>
      </c>
      <c r="P166" s="3">
        <v>12</v>
      </c>
      <c r="Q166" s="3">
        <v>1</v>
      </c>
    </row>
    <row r="167" spans="2:17" ht="9">
      <c r="B167" s="9" t="s">
        <v>72</v>
      </c>
      <c r="C167" s="3">
        <v>1235</v>
      </c>
      <c r="D167" s="3">
        <v>14658</v>
      </c>
      <c r="E167" s="3">
        <v>1767</v>
      </c>
      <c r="F167" s="3">
        <v>837</v>
      </c>
      <c r="G167" s="3">
        <v>6149</v>
      </c>
      <c r="H167" s="3">
        <v>118</v>
      </c>
      <c r="I167" s="3">
        <v>3027</v>
      </c>
      <c r="J167" s="3">
        <v>12287</v>
      </c>
      <c r="K167" s="3">
        <v>188</v>
      </c>
      <c r="L167" s="3">
        <v>54</v>
      </c>
      <c r="M167" s="3">
        <v>122</v>
      </c>
      <c r="N167" s="3">
        <v>308</v>
      </c>
      <c r="O167" s="3">
        <v>85</v>
      </c>
      <c r="P167" s="3">
        <v>113</v>
      </c>
      <c r="Q167" s="3">
        <v>9</v>
      </c>
    </row>
    <row r="168" spans="2:17" ht="9">
      <c r="B168" s="9" t="s">
        <v>86</v>
      </c>
      <c r="C168" s="3">
        <v>400</v>
      </c>
      <c r="D168" s="3">
        <v>4259</v>
      </c>
      <c r="E168" s="3">
        <v>446</v>
      </c>
      <c r="F168" s="3">
        <v>256</v>
      </c>
      <c r="G168" s="3">
        <v>1984</v>
      </c>
      <c r="H168" s="3">
        <v>45</v>
      </c>
      <c r="I168" s="3">
        <v>1107</v>
      </c>
      <c r="J168" s="3">
        <v>4103</v>
      </c>
      <c r="K168" s="3">
        <v>45</v>
      </c>
      <c r="L168" s="3">
        <v>7</v>
      </c>
      <c r="M168" s="3">
        <v>35</v>
      </c>
      <c r="N168" s="3">
        <v>78</v>
      </c>
      <c r="O168" s="3">
        <v>69</v>
      </c>
      <c r="P168" s="3">
        <v>48</v>
      </c>
      <c r="Q168" s="3">
        <v>1</v>
      </c>
    </row>
    <row r="169" spans="1:17" ht="9">
      <c r="A169" s="4" t="s">
        <v>28</v>
      </c>
      <c r="C169" s="3">
        <v>2531</v>
      </c>
      <c r="D169" s="3">
        <v>26407</v>
      </c>
      <c r="E169" s="3">
        <v>3284</v>
      </c>
      <c r="F169" s="3">
        <v>1632</v>
      </c>
      <c r="G169" s="3">
        <v>14968</v>
      </c>
      <c r="H169" s="3">
        <v>296</v>
      </c>
      <c r="I169" s="3">
        <v>6729</v>
      </c>
      <c r="J169" s="3">
        <v>24415</v>
      </c>
      <c r="K169" s="3">
        <v>394</v>
      </c>
      <c r="L169" s="3">
        <v>91</v>
      </c>
      <c r="M169" s="3">
        <v>263</v>
      </c>
      <c r="N169" s="3">
        <v>662</v>
      </c>
      <c r="O169" s="3">
        <v>354</v>
      </c>
      <c r="P169" s="3">
        <v>369</v>
      </c>
      <c r="Q169" s="3">
        <v>32</v>
      </c>
    </row>
    <row r="170" spans="2:17" s="6" customFormat="1" ht="9">
      <c r="B170" s="10" t="s">
        <v>160</v>
      </c>
      <c r="C170" s="7">
        <f>C169/33854</f>
        <v>0.07476221421397766</v>
      </c>
      <c r="D170" s="7">
        <f>D169/33854</f>
        <v>0.7800259939741242</v>
      </c>
      <c r="E170" s="7">
        <f>E169/33854</f>
        <v>0.0970047852543274</v>
      </c>
      <c r="F170" s="7">
        <f>F169/33854</f>
        <v>0.04820700655757074</v>
      </c>
      <c r="G170" s="7">
        <f aca="true" t="shared" si="24" ref="G170:M170">G169/47156</f>
        <v>0.3174145389770125</v>
      </c>
      <c r="H170" s="7">
        <f t="shared" si="24"/>
        <v>0.00627703791670201</v>
      </c>
      <c r="I170" s="7">
        <f t="shared" si="24"/>
        <v>0.1426965815590805</v>
      </c>
      <c r="J170" s="7">
        <f t="shared" si="24"/>
        <v>0.5177495970820256</v>
      </c>
      <c r="K170" s="7">
        <f t="shared" si="24"/>
        <v>0.008355246416150649</v>
      </c>
      <c r="L170" s="7">
        <f t="shared" si="24"/>
        <v>0.0019297650352023072</v>
      </c>
      <c r="M170" s="7">
        <f t="shared" si="24"/>
        <v>0.005577233013826449</v>
      </c>
      <c r="N170" s="7">
        <f>N169/662</f>
        <v>1</v>
      </c>
      <c r="O170" s="7">
        <f>O169/354</f>
        <v>1</v>
      </c>
      <c r="P170" s="7">
        <v>1</v>
      </c>
      <c r="Q170" s="7">
        <f>Q169/32</f>
        <v>1</v>
      </c>
    </row>
    <row r="171" spans="2:17" ht="4.5" customHeight="1">
      <c r="B171" s="11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</row>
    <row r="172" spans="1:17" ht="9">
      <c r="A172" s="5" t="s">
        <v>88</v>
      </c>
      <c r="B172" s="11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</row>
    <row r="173" spans="2:17" ht="9">
      <c r="B173" s="9" t="s">
        <v>59</v>
      </c>
      <c r="C173" s="3">
        <v>1150</v>
      </c>
      <c r="D173" s="3">
        <v>12279</v>
      </c>
      <c r="E173" s="3">
        <v>1305</v>
      </c>
      <c r="F173" s="3">
        <v>772</v>
      </c>
      <c r="G173" s="3">
        <v>6050</v>
      </c>
      <c r="H173" s="3">
        <v>126</v>
      </c>
      <c r="I173" s="3">
        <v>3228</v>
      </c>
      <c r="J173" s="3">
        <v>11086</v>
      </c>
      <c r="K173" s="3">
        <v>181</v>
      </c>
      <c r="L173" s="3">
        <v>25</v>
      </c>
      <c r="M173" s="3">
        <v>109</v>
      </c>
      <c r="N173" s="3">
        <v>219</v>
      </c>
      <c r="O173" s="3">
        <v>86</v>
      </c>
      <c r="P173" s="3">
        <v>77</v>
      </c>
      <c r="Q173" s="3">
        <v>14</v>
      </c>
    </row>
    <row r="174" spans="2:17" ht="9">
      <c r="B174" s="9" t="s">
        <v>72</v>
      </c>
      <c r="C174" s="3">
        <v>761</v>
      </c>
      <c r="D174" s="3">
        <v>9092</v>
      </c>
      <c r="E174" s="3">
        <v>1203</v>
      </c>
      <c r="F174" s="3">
        <v>623</v>
      </c>
      <c r="G174" s="3">
        <v>3590</v>
      </c>
      <c r="H174" s="3">
        <v>99</v>
      </c>
      <c r="I174" s="3">
        <v>1369</v>
      </c>
      <c r="J174" s="3">
        <v>5780</v>
      </c>
      <c r="K174" s="3">
        <v>145</v>
      </c>
      <c r="L174" s="3">
        <v>31</v>
      </c>
      <c r="M174" s="3">
        <v>91</v>
      </c>
      <c r="N174" s="3">
        <v>200</v>
      </c>
      <c r="O174" s="3">
        <v>53</v>
      </c>
      <c r="P174" s="3">
        <v>62</v>
      </c>
      <c r="Q174" s="3">
        <v>9</v>
      </c>
    </row>
    <row r="175" spans="1:17" ht="9">
      <c r="A175" s="4" t="s">
        <v>28</v>
      </c>
      <c r="C175" s="3">
        <v>1911</v>
      </c>
      <c r="D175" s="3">
        <v>21371</v>
      </c>
      <c r="E175" s="3">
        <v>2508</v>
      </c>
      <c r="F175" s="3">
        <v>1395</v>
      </c>
      <c r="G175" s="3">
        <v>9640</v>
      </c>
      <c r="H175" s="3">
        <v>225</v>
      </c>
      <c r="I175" s="3">
        <v>4597</v>
      </c>
      <c r="J175" s="3">
        <v>16866</v>
      </c>
      <c r="K175" s="3">
        <v>326</v>
      </c>
      <c r="L175" s="3">
        <v>56</v>
      </c>
      <c r="M175" s="3">
        <v>200</v>
      </c>
      <c r="N175" s="3">
        <v>419</v>
      </c>
      <c r="O175" s="3">
        <v>139</v>
      </c>
      <c r="P175" s="3">
        <v>139</v>
      </c>
      <c r="Q175" s="3">
        <v>23</v>
      </c>
    </row>
    <row r="176" spans="2:17" s="6" customFormat="1" ht="9">
      <c r="B176" s="10" t="s">
        <v>160</v>
      </c>
      <c r="C176" s="7">
        <f>C175/27185</f>
        <v>0.07029611918337318</v>
      </c>
      <c r="D176" s="7">
        <f>D175/27185</f>
        <v>0.786132058120287</v>
      </c>
      <c r="E176" s="7">
        <f>E175/27185</f>
        <v>0.09225675924222917</v>
      </c>
      <c r="F176" s="7">
        <f>F175/27185</f>
        <v>0.05131506345411072</v>
      </c>
      <c r="G176" s="7">
        <f aca="true" t="shared" si="25" ref="G176:M176">G175/31910</f>
        <v>0.30209965528047633</v>
      </c>
      <c r="H176" s="7">
        <f t="shared" si="25"/>
        <v>0.0070510811657787525</v>
      </c>
      <c r="I176" s="7">
        <f t="shared" si="25"/>
        <v>0.14406142275148856</v>
      </c>
      <c r="J176" s="7">
        <f t="shared" si="25"/>
        <v>0.5285490441867753</v>
      </c>
      <c r="K176" s="7">
        <f t="shared" si="25"/>
        <v>0.010216233155750548</v>
      </c>
      <c r="L176" s="7">
        <f t="shared" si="25"/>
        <v>0.0017549357568160452</v>
      </c>
      <c r="M176" s="7">
        <f t="shared" si="25"/>
        <v>0.006267627702914447</v>
      </c>
      <c r="N176" s="7">
        <f>N175/419</f>
        <v>1</v>
      </c>
      <c r="O176" s="7">
        <f>O175/139</f>
        <v>1</v>
      </c>
      <c r="P176" s="7">
        <f>P175/139</f>
        <v>1</v>
      </c>
      <c r="Q176" s="7">
        <f>Q175/23</f>
        <v>1</v>
      </c>
    </row>
    <row r="177" spans="2:17" ht="4.5" customHeight="1">
      <c r="B177" s="11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</row>
    <row r="178" spans="1:17" ht="9">
      <c r="A178" s="5" t="s">
        <v>91</v>
      </c>
      <c r="B178" s="11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</row>
    <row r="179" spans="2:17" ht="9">
      <c r="B179" s="9" t="s">
        <v>89</v>
      </c>
      <c r="C179" s="3">
        <v>978</v>
      </c>
      <c r="D179" s="3">
        <v>12691</v>
      </c>
      <c r="E179" s="3">
        <v>1036</v>
      </c>
      <c r="F179" s="3">
        <v>550</v>
      </c>
      <c r="G179" s="3">
        <v>1731</v>
      </c>
      <c r="H179" s="3">
        <v>90</v>
      </c>
      <c r="I179" s="3">
        <v>4399</v>
      </c>
      <c r="J179" s="3">
        <v>8405</v>
      </c>
      <c r="K179" s="3">
        <v>122</v>
      </c>
      <c r="L179" s="3">
        <v>47</v>
      </c>
      <c r="M179" s="3">
        <v>89</v>
      </c>
      <c r="N179" s="3">
        <v>192</v>
      </c>
      <c r="O179" s="3">
        <v>325</v>
      </c>
      <c r="P179" s="3">
        <v>129</v>
      </c>
      <c r="Q179" s="3">
        <v>16</v>
      </c>
    </row>
    <row r="180" spans="2:17" ht="9">
      <c r="B180" s="9" t="s">
        <v>76</v>
      </c>
      <c r="C180" s="3">
        <v>297</v>
      </c>
      <c r="D180" s="3">
        <v>2409</v>
      </c>
      <c r="E180" s="3">
        <v>226</v>
      </c>
      <c r="F180" s="3">
        <v>147</v>
      </c>
      <c r="G180" s="3">
        <v>474</v>
      </c>
      <c r="H180" s="3">
        <v>16</v>
      </c>
      <c r="I180" s="3">
        <v>901</v>
      </c>
      <c r="J180" s="3">
        <v>2417</v>
      </c>
      <c r="K180" s="3">
        <v>54</v>
      </c>
      <c r="L180" s="3">
        <v>10</v>
      </c>
      <c r="M180" s="3">
        <v>28</v>
      </c>
      <c r="N180" s="3">
        <v>46</v>
      </c>
      <c r="O180" s="3">
        <v>26</v>
      </c>
      <c r="P180" s="3">
        <v>36</v>
      </c>
      <c r="Q180" s="3">
        <v>3</v>
      </c>
    </row>
    <row r="181" spans="2:17" ht="9">
      <c r="B181" s="9" t="s">
        <v>90</v>
      </c>
      <c r="C181" s="3">
        <v>1841</v>
      </c>
      <c r="D181" s="3">
        <v>21870</v>
      </c>
      <c r="E181" s="3">
        <v>2083</v>
      </c>
      <c r="F181" s="3">
        <v>1030</v>
      </c>
      <c r="G181" s="3">
        <v>1779</v>
      </c>
      <c r="H181" s="3">
        <v>94</v>
      </c>
      <c r="I181" s="3">
        <v>4684</v>
      </c>
      <c r="J181" s="3">
        <v>9523</v>
      </c>
      <c r="K181" s="3">
        <v>155</v>
      </c>
      <c r="L181" s="3">
        <v>33</v>
      </c>
      <c r="M181" s="3">
        <v>125</v>
      </c>
      <c r="N181" s="3">
        <v>304</v>
      </c>
      <c r="O181" s="3">
        <v>2080</v>
      </c>
      <c r="P181" s="3">
        <v>433</v>
      </c>
      <c r="Q181" s="3">
        <v>88</v>
      </c>
    </row>
    <row r="182" spans="1:17" ht="9">
      <c r="A182" s="4" t="s">
        <v>28</v>
      </c>
      <c r="C182" s="3">
        <v>3116</v>
      </c>
      <c r="D182" s="3">
        <v>36970</v>
      </c>
      <c r="E182" s="3">
        <v>3345</v>
      </c>
      <c r="F182" s="3">
        <v>1727</v>
      </c>
      <c r="G182" s="3">
        <v>3984</v>
      </c>
      <c r="H182" s="3">
        <v>200</v>
      </c>
      <c r="I182" s="3">
        <v>9984</v>
      </c>
      <c r="J182" s="3">
        <v>20345</v>
      </c>
      <c r="K182" s="3">
        <v>331</v>
      </c>
      <c r="L182" s="3">
        <v>90</v>
      </c>
      <c r="M182" s="3">
        <v>242</v>
      </c>
      <c r="N182" s="3">
        <v>542</v>
      </c>
      <c r="O182" s="3">
        <v>2431</v>
      </c>
      <c r="P182" s="3">
        <v>598</v>
      </c>
      <c r="Q182" s="3">
        <v>107</v>
      </c>
    </row>
    <row r="183" spans="2:17" s="6" customFormat="1" ht="9">
      <c r="B183" s="10" t="s">
        <v>160</v>
      </c>
      <c r="C183" s="7">
        <f>C182/45158</f>
        <v>0.06900217015811153</v>
      </c>
      <c r="D183" s="7">
        <f>D182/45158</f>
        <v>0.8186810753354887</v>
      </c>
      <c r="E183" s="7">
        <f>E182/45158</f>
        <v>0.07407325390849905</v>
      </c>
      <c r="F183" s="7">
        <f>F182/45158</f>
        <v>0.0382435005979007</v>
      </c>
      <c r="G183" s="7">
        <f aca="true" t="shared" si="26" ref="G183:M183">G182/35176</f>
        <v>0.11325904025471913</v>
      </c>
      <c r="H183" s="7">
        <f t="shared" si="26"/>
        <v>0.00568569479190357</v>
      </c>
      <c r="I183" s="7">
        <f t="shared" si="26"/>
        <v>0.28382988401182624</v>
      </c>
      <c r="J183" s="7">
        <f t="shared" si="26"/>
        <v>0.5783773027063908</v>
      </c>
      <c r="K183" s="7">
        <f t="shared" si="26"/>
        <v>0.00940982488060041</v>
      </c>
      <c r="L183" s="7">
        <f t="shared" si="26"/>
        <v>0.002558562656356607</v>
      </c>
      <c r="M183" s="7">
        <f t="shared" si="26"/>
        <v>0.006879690698203321</v>
      </c>
      <c r="N183" s="7">
        <f>N182/542</f>
        <v>1</v>
      </c>
      <c r="O183" s="7">
        <f>O182/2431</f>
        <v>1</v>
      </c>
      <c r="P183" s="7">
        <v>1</v>
      </c>
      <c r="Q183" s="7">
        <f>Q182/107</f>
        <v>1</v>
      </c>
    </row>
    <row r="184" spans="2:17" ht="4.5" customHeight="1">
      <c r="B184" s="11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</row>
    <row r="185" spans="1:17" ht="9">
      <c r="A185" s="5" t="s">
        <v>93</v>
      </c>
      <c r="B185" s="11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</row>
    <row r="186" spans="2:17" ht="9">
      <c r="B186" s="9" t="s">
        <v>89</v>
      </c>
      <c r="C186" s="3">
        <v>611</v>
      </c>
      <c r="D186" s="3">
        <v>10596</v>
      </c>
      <c r="E186" s="3">
        <v>1549</v>
      </c>
      <c r="F186" s="3">
        <v>430</v>
      </c>
      <c r="G186" s="3">
        <v>1594</v>
      </c>
      <c r="H186" s="3">
        <v>77</v>
      </c>
      <c r="I186" s="3">
        <v>1983</v>
      </c>
      <c r="J186" s="3">
        <v>5601</v>
      </c>
      <c r="K186" s="3">
        <v>126</v>
      </c>
      <c r="L186" s="3">
        <v>111</v>
      </c>
      <c r="M186" s="3">
        <v>83</v>
      </c>
      <c r="N186" s="3">
        <v>196</v>
      </c>
      <c r="O186" s="3">
        <v>76</v>
      </c>
      <c r="P186" s="3">
        <v>66</v>
      </c>
      <c r="Q186" s="3">
        <v>9</v>
      </c>
    </row>
    <row r="187" spans="2:17" ht="9">
      <c r="B187" s="9" t="s">
        <v>92</v>
      </c>
      <c r="C187" s="3">
        <v>208</v>
      </c>
      <c r="D187" s="3">
        <v>3407</v>
      </c>
      <c r="E187" s="3">
        <v>509</v>
      </c>
      <c r="F187" s="3">
        <v>167</v>
      </c>
      <c r="G187" s="3">
        <v>666</v>
      </c>
      <c r="H187" s="3">
        <v>33</v>
      </c>
      <c r="I187" s="3">
        <v>783</v>
      </c>
      <c r="J187" s="3">
        <v>2322</v>
      </c>
      <c r="K187" s="3">
        <v>55</v>
      </c>
      <c r="L187" s="3">
        <v>26</v>
      </c>
      <c r="M187" s="3">
        <v>35</v>
      </c>
      <c r="N187" s="3">
        <v>68</v>
      </c>
      <c r="O187" s="3">
        <v>36</v>
      </c>
      <c r="P187" s="3">
        <v>31</v>
      </c>
      <c r="Q187" s="3">
        <v>0</v>
      </c>
    </row>
    <row r="188" spans="2:17" ht="9">
      <c r="B188" s="9" t="s">
        <v>76</v>
      </c>
      <c r="C188" s="3">
        <v>261</v>
      </c>
      <c r="D188" s="3">
        <v>4207</v>
      </c>
      <c r="E188" s="3">
        <v>450</v>
      </c>
      <c r="F188" s="3">
        <v>173</v>
      </c>
      <c r="G188" s="3">
        <v>538</v>
      </c>
      <c r="H188" s="3">
        <v>34</v>
      </c>
      <c r="I188" s="3">
        <v>911</v>
      </c>
      <c r="J188" s="3">
        <v>2340</v>
      </c>
      <c r="K188" s="3">
        <v>37</v>
      </c>
      <c r="L188" s="3">
        <v>49</v>
      </c>
      <c r="M188" s="3">
        <v>30</v>
      </c>
      <c r="N188" s="3">
        <v>55</v>
      </c>
      <c r="O188" s="3">
        <v>28</v>
      </c>
      <c r="P188" s="3">
        <v>47</v>
      </c>
      <c r="Q188" s="3">
        <v>1</v>
      </c>
    </row>
    <row r="189" spans="2:17" ht="9">
      <c r="B189" s="9" t="s">
        <v>90</v>
      </c>
      <c r="C189" s="3">
        <v>235</v>
      </c>
      <c r="D189" s="3">
        <v>3479</v>
      </c>
      <c r="E189" s="3">
        <v>524</v>
      </c>
      <c r="F189" s="3">
        <v>127</v>
      </c>
      <c r="G189" s="3">
        <v>233</v>
      </c>
      <c r="H189" s="3">
        <v>8</v>
      </c>
      <c r="I189" s="3">
        <v>450</v>
      </c>
      <c r="J189" s="3">
        <v>1337</v>
      </c>
      <c r="K189" s="3">
        <v>15</v>
      </c>
      <c r="L189" s="3">
        <v>23</v>
      </c>
      <c r="M189" s="3">
        <v>10</v>
      </c>
      <c r="N189" s="3">
        <v>39</v>
      </c>
      <c r="O189" s="3">
        <v>56</v>
      </c>
      <c r="P189" s="3">
        <v>19</v>
      </c>
      <c r="Q189" s="3">
        <v>5</v>
      </c>
    </row>
    <row r="190" spans="1:17" ht="9">
      <c r="A190" s="4" t="s">
        <v>28</v>
      </c>
      <c r="C190" s="3">
        <v>1315</v>
      </c>
      <c r="D190" s="3">
        <v>21689</v>
      </c>
      <c r="E190" s="3">
        <v>3032</v>
      </c>
      <c r="F190" s="3">
        <v>897</v>
      </c>
      <c r="G190" s="3">
        <v>3031</v>
      </c>
      <c r="H190" s="3">
        <v>152</v>
      </c>
      <c r="I190" s="3">
        <v>4127</v>
      </c>
      <c r="J190" s="3">
        <v>11600</v>
      </c>
      <c r="K190" s="3">
        <v>233</v>
      </c>
      <c r="L190" s="3">
        <v>209</v>
      </c>
      <c r="M190" s="3">
        <v>158</v>
      </c>
      <c r="N190" s="3">
        <v>358</v>
      </c>
      <c r="O190" s="3">
        <v>196</v>
      </c>
      <c r="P190" s="3">
        <v>163</v>
      </c>
      <c r="Q190" s="3">
        <v>15</v>
      </c>
    </row>
    <row r="191" spans="2:17" s="6" customFormat="1" ht="9">
      <c r="B191" s="10" t="s">
        <v>160</v>
      </c>
      <c r="C191" s="7">
        <f>C190/26933</f>
        <v>0.04882486169383284</v>
      </c>
      <c r="D191" s="7">
        <f>D190/26933</f>
        <v>0.8052946199829206</v>
      </c>
      <c r="E191" s="7">
        <f>E190/26933</f>
        <v>0.11257565068874614</v>
      </c>
      <c r="F191" s="7">
        <f>F190/26933</f>
        <v>0.033304867634500426</v>
      </c>
      <c r="G191" s="7">
        <f aca="true" t="shared" si="27" ref="G191:M191">G190/19510</f>
        <v>0.15535622757560225</v>
      </c>
      <c r="H191" s="7">
        <f t="shared" si="27"/>
        <v>0.00779087647360328</v>
      </c>
      <c r="I191" s="7">
        <f t="shared" si="27"/>
        <v>0.2115325474115838</v>
      </c>
      <c r="J191" s="7">
        <f t="shared" si="27"/>
        <v>0.5945668887749872</v>
      </c>
      <c r="K191" s="7">
        <f t="shared" si="27"/>
        <v>0.01194259354177345</v>
      </c>
      <c r="L191" s="7">
        <f t="shared" si="27"/>
        <v>0.01071245515120451</v>
      </c>
      <c r="M191" s="7">
        <f t="shared" si="27"/>
        <v>0.008098411071245515</v>
      </c>
      <c r="N191" s="7">
        <f>N190/358</f>
        <v>1</v>
      </c>
      <c r="O191" s="7">
        <f>O190/196</f>
        <v>1</v>
      </c>
      <c r="P191" s="7">
        <v>1</v>
      </c>
      <c r="Q191" s="7">
        <f>Q190/15</f>
        <v>1</v>
      </c>
    </row>
    <row r="192" spans="2:17" ht="4.5" customHeight="1">
      <c r="B192" s="11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</row>
    <row r="193" spans="1:17" ht="9">
      <c r="A193" s="5" t="s">
        <v>96</v>
      </c>
      <c r="B193" s="11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</row>
    <row r="194" spans="2:17" ht="9">
      <c r="B194" s="9" t="s">
        <v>94</v>
      </c>
      <c r="C194" s="3">
        <v>2011</v>
      </c>
      <c r="D194" s="3">
        <v>17338</v>
      </c>
      <c r="E194" s="3">
        <v>1598</v>
      </c>
      <c r="F194" s="3">
        <v>1191</v>
      </c>
      <c r="G194" s="3">
        <v>26854</v>
      </c>
      <c r="H194" s="3">
        <v>131</v>
      </c>
      <c r="I194" s="3">
        <v>4206</v>
      </c>
      <c r="J194" s="3">
        <v>13777</v>
      </c>
      <c r="K194" s="3">
        <v>182</v>
      </c>
      <c r="L194" s="3">
        <v>58</v>
      </c>
      <c r="M194" s="3">
        <v>107</v>
      </c>
      <c r="N194" s="3">
        <v>277</v>
      </c>
      <c r="O194" s="3">
        <v>226</v>
      </c>
      <c r="P194" s="3">
        <v>149</v>
      </c>
      <c r="Q194" s="3">
        <v>23</v>
      </c>
    </row>
    <row r="195" spans="2:17" ht="9">
      <c r="B195" s="9" t="s">
        <v>83</v>
      </c>
      <c r="C195" s="3">
        <v>282</v>
      </c>
      <c r="D195" s="3">
        <v>2069</v>
      </c>
      <c r="E195" s="3">
        <v>332</v>
      </c>
      <c r="F195" s="3">
        <v>141</v>
      </c>
      <c r="G195" s="3">
        <v>2382</v>
      </c>
      <c r="H195" s="3">
        <v>19</v>
      </c>
      <c r="I195" s="3">
        <v>383</v>
      </c>
      <c r="J195" s="3">
        <v>1222</v>
      </c>
      <c r="K195" s="3">
        <v>44</v>
      </c>
      <c r="L195" s="3">
        <v>7</v>
      </c>
      <c r="M195" s="3">
        <v>22</v>
      </c>
      <c r="N195" s="3">
        <v>50</v>
      </c>
      <c r="O195" s="3">
        <v>6</v>
      </c>
      <c r="P195" s="3">
        <v>14</v>
      </c>
      <c r="Q195" s="3">
        <v>1</v>
      </c>
    </row>
    <row r="196" spans="2:17" ht="9">
      <c r="B196" s="9" t="s">
        <v>95</v>
      </c>
      <c r="C196" s="3">
        <v>0</v>
      </c>
      <c r="D196" s="3">
        <v>0</v>
      </c>
      <c r="E196" s="3">
        <v>0</v>
      </c>
      <c r="F196" s="3">
        <v>0</v>
      </c>
      <c r="G196" s="3">
        <v>0</v>
      </c>
      <c r="H196" s="3">
        <v>0</v>
      </c>
      <c r="I196" s="3">
        <v>0</v>
      </c>
      <c r="J196" s="3">
        <v>0</v>
      </c>
      <c r="K196" s="3">
        <v>0</v>
      </c>
      <c r="L196" s="3">
        <v>0</v>
      </c>
      <c r="M196" s="3">
        <v>0</v>
      </c>
      <c r="N196" s="3">
        <v>0</v>
      </c>
      <c r="O196" s="3">
        <v>0</v>
      </c>
      <c r="P196" s="3">
        <v>0</v>
      </c>
      <c r="Q196" s="3">
        <v>0</v>
      </c>
    </row>
    <row r="197" spans="1:17" ht="9">
      <c r="A197" s="4" t="s">
        <v>28</v>
      </c>
      <c r="C197" s="3">
        <v>2293</v>
      </c>
      <c r="D197" s="3">
        <v>19407</v>
      </c>
      <c r="E197" s="3">
        <v>1930</v>
      </c>
      <c r="F197" s="3">
        <v>1332</v>
      </c>
      <c r="G197" s="3">
        <v>29236</v>
      </c>
      <c r="H197" s="3">
        <v>150</v>
      </c>
      <c r="I197" s="3">
        <v>4589</v>
      </c>
      <c r="J197" s="3">
        <v>14999</v>
      </c>
      <c r="K197" s="3">
        <v>226</v>
      </c>
      <c r="L197" s="3">
        <v>65</v>
      </c>
      <c r="M197" s="3">
        <v>129</v>
      </c>
      <c r="N197" s="3">
        <v>327</v>
      </c>
      <c r="O197" s="3">
        <v>232</v>
      </c>
      <c r="P197" s="3">
        <v>163</v>
      </c>
      <c r="Q197" s="3">
        <v>24</v>
      </c>
    </row>
    <row r="198" spans="2:17" s="6" customFormat="1" ht="9">
      <c r="B198" s="10" t="s">
        <v>160</v>
      </c>
      <c r="C198" s="7">
        <f>C197/24962</f>
        <v>0.09185962663248137</v>
      </c>
      <c r="D198" s="7">
        <f>D197/24962</f>
        <v>0.7774617418476084</v>
      </c>
      <c r="E198" s="7">
        <f>E197/24962</f>
        <v>0.07731752263440429</v>
      </c>
      <c r="F198" s="7">
        <f>F197/24962</f>
        <v>0.05336110888550597</v>
      </c>
      <c r="G198" s="7">
        <f aca="true" t="shared" si="28" ref="G198:M198">G197/49394</f>
        <v>0.5918937522776045</v>
      </c>
      <c r="H198" s="7">
        <f t="shared" si="28"/>
        <v>0.0030368060898084788</v>
      </c>
      <c r="I198" s="7">
        <f t="shared" si="28"/>
        <v>0.09290602097420739</v>
      </c>
      <c r="J198" s="7">
        <f t="shared" si="28"/>
        <v>0.30366036360691584</v>
      </c>
      <c r="K198" s="7">
        <f t="shared" si="28"/>
        <v>0.004575454508644774</v>
      </c>
      <c r="L198" s="7">
        <f t="shared" si="28"/>
        <v>0.001315949305583674</v>
      </c>
      <c r="M198" s="7">
        <f t="shared" si="28"/>
        <v>0.0026116532372352915</v>
      </c>
      <c r="N198" s="7">
        <f>N197/327</f>
        <v>1</v>
      </c>
      <c r="O198" s="7">
        <f>O197/232</f>
        <v>1</v>
      </c>
      <c r="P198" s="7">
        <v>1</v>
      </c>
      <c r="Q198" s="7">
        <f>Q197/24</f>
        <v>1</v>
      </c>
    </row>
    <row r="199" spans="2:17" ht="4.5" customHeight="1">
      <c r="B199" s="11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</row>
    <row r="200" spans="1:17" ht="9">
      <c r="A200" s="5" t="s">
        <v>99</v>
      </c>
      <c r="B200" s="11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</row>
    <row r="201" spans="2:17" ht="9">
      <c r="B201" s="9" t="s">
        <v>94</v>
      </c>
      <c r="C201" s="3">
        <v>181</v>
      </c>
      <c r="D201" s="3">
        <v>1370</v>
      </c>
      <c r="E201" s="3">
        <v>211</v>
      </c>
      <c r="F201" s="3">
        <v>117</v>
      </c>
      <c r="G201" s="3">
        <v>1935</v>
      </c>
      <c r="H201" s="3">
        <v>5</v>
      </c>
      <c r="I201" s="3">
        <v>231</v>
      </c>
      <c r="J201" s="3">
        <v>964</v>
      </c>
      <c r="K201" s="3">
        <v>17</v>
      </c>
      <c r="L201" s="3">
        <v>6</v>
      </c>
      <c r="M201" s="3">
        <v>17</v>
      </c>
      <c r="N201" s="3">
        <v>22</v>
      </c>
      <c r="O201" s="3">
        <v>5</v>
      </c>
      <c r="P201" s="3">
        <v>6</v>
      </c>
      <c r="Q201" s="3">
        <v>2</v>
      </c>
    </row>
    <row r="202" spans="2:17" ht="9">
      <c r="B202" s="9" t="s">
        <v>97</v>
      </c>
      <c r="C202" s="3">
        <v>657</v>
      </c>
      <c r="D202" s="3">
        <v>7245</v>
      </c>
      <c r="E202" s="3">
        <v>793</v>
      </c>
      <c r="F202" s="3">
        <v>364</v>
      </c>
      <c r="G202" s="3">
        <v>1338</v>
      </c>
      <c r="H202" s="3">
        <v>47</v>
      </c>
      <c r="I202" s="3">
        <v>765</v>
      </c>
      <c r="J202" s="3">
        <v>1923</v>
      </c>
      <c r="K202" s="3">
        <v>49</v>
      </c>
      <c r="L202" s="3">
        <v>16</v>
      </c>
      <c r="M202" s="3">
        <v>88</v>
      </c>
      <c r="N202" s="3">
        <v>90</v>
      </c>
      <c r="O202" s="3">
        <v>12</v>
      </c>
      <c r="P202" s="3">
        <v>24</v>
      </c>
      <c r="Q202" s="3">
        <v>12</v>
      </c>
    </row>
    <row r="203" spans="2:17" ht="9">
      <c r="B203" s="9" t="s">
        <v>98</v>
      </c>
      <c r="C203" s="3">
        <v>586</v>
      </c>
      <c r="D203" s="3">
        <v>4230</v>
      </c>
      <c r="E203" s="3">
        <v>505</v>
      </c>
      <c r="F203" s="3">
        <v>368</v>
      </c>
      <c r="G203" s="3">
        <v>4143</v>
      </c>
      <c r="H203" s="3">
        <v>52</v>
      </c>
      <c r="I203" s="3">
        <v>615</v>
      </c>
      <c r="J203" s="3">
        <v>2584</v>
      </c>
      <c r="K203" s="3">
        <v>47</v>
      </c>
      <c r="L203" s="3">
        <v>11</v>
      </c>
      <c r="M203" s="3">
        <v>68</v>
      </c>
      <c r="N203" s="3">
        <v>74</v>
      </c>
      <c r="O203" s="3">
        <v>15</v>
      </c>
      <c r="P203" s="3">
        <v>25</v>
      </c>
      <c r="Q203" s="3">
        <v>7</v>
      </c>
    </row>
    <row r="204" spans="2:17" ht="9">
      <c r="B204" s="9" t="s">
        <v>95</v>
      </c>
      <c r="C204" s="3">
        <v>113</v>
      </c>
      <c r="D204" s="3">
        <v>1234</v>
      </c>
      <c r="E204" s="3">
        <v>147</v>
      </c>
      <c r="F204" s="3">
        <v>71</v>
      </c>
      <c r="G204" s="3">
        <v>1088</v>
      </c>
      <c r="H204" s="3">
        <v>4</v>
      </c>
      <c r="I204" s="3">
        <v>103</v>
      </c>
      <c r="J204" s="3">
        <v>485</v>
      </c>
      <c r="K204" s="3">
        <v>7</v>
      </c>
      <c r="L204" s="3">
        <v>4</v>
      </c>
      <c r="M204" s="3">
        <v>9</v>
      </c>
      <c r="N204" s="3">
        <v>24</v>
      </c>
      <c r="O204" s="3">
        <v>1</v>
      </c>
      <c r="P204" s="3">
        <v>6</v>
      </c>
      <c r="Q204" s="3">
        <v>0</v>
      </c>
    </row>
    <row r="205" spans="1:17" ht="9">
      <c r="A205" s="4" t="s">
        <v>28</v>
      </c>
      <c r="C205" s="3">
        <v>1537</v>
      </c>
      <c r="D205" s="3">
        <v>14079</v>
      </c>
      <c r="E205" s="3">
        <v>1656</v>
      </c>
      <c r="F205" s="3">
        <v>920</v>
      </c>
      <c r="G205" s="3">
        <v>8504</v>
      </c>
      <c r="H205" s="3">
        <v>108</v>
      </c>
      <c r="I205" s="3">
        <v>1714</v>
      </c>
      <c r="J205" s="3">
        <v>5956</v>
      </c>
      <c r="K205" s="3">
        <v>120</v>
      </c>
      <c r="L205" s="3">
        <v>37</v>
      </c>
      <c r="M205" s="3">
        <v>182</v>
      </c>
      <c r="N205" s="3">
        <v>210</v>
      </c>
      <c r="O205" s="3">
        <v>33</v>
      </c>
      <c r="P205" s="3">
        <v>61</v>
      </c>
      <c r="Q205" s="3">
        <v>21</v>
      </c>
    </row>
    <row r="206" spans="2:17" s="6" customFormat="1" ht="9">
      <c r="B206" s="10" t="s">
        <v>160</v>
      </c>
      <c r="C206" s="7">
        <f>C205/18192</f>
        <v>0.08448768689533862</v>
      </c>
      <c r="D206" s="7">
        <f>D205/18192</f>
        <v>0.7739116094986808</v>
      </c>
      <c r="E206" s="7">
        <f>E205/18192</f>
        <v>0.09102902374670185</v>
      </c>
      <c r="F206" s="7">
        <f>F205/18192</f>
        <v>0.0505716798592788</v>
      </c>
      <c r="G206" s="7">
        <f aca="true" t="shared" si="29" ref="G206:M206">G205/16621</f>
        <v>0.5116418988027195</v>
      </c>
      <c r="H206" s="7">
        <f t="shared" si="29"/>
        <v>0.006497803982913182</v>
      </c>
      <c r="I206" s="7">
        <f t="shared" si="29"/>
        <v>0.10312255580289995</v>
      </c>
      <c r="J206" s="7">
        <f t="shared" si="29"/>
        <v>0.35834185668732327</v>
      </c>
      <c r="K206" s="7">
        <f t="shared" si="29"/>
        <v>0.007219782203236869</v>
      </c>
      <c r="L206" s="7">
        <f t="shared" si="29"/>
        <v>0.002226099512664701</v>
      </c>
      <c r="M206" s="7">
        <f t="shared" si="29"/>
        <v>0.010950003008242585</v>
      </c>
      <c r="N206" s="7">
        <f>N205/210</f>
        <v>1</v>
      </c>
      <c r="O206" s="7">
        <f>O205/33</f>
        <v>1</v>
      </c>
      <c r="P206" s="7">
        <f>P205/61</f>
        <v>1</v>
      </c>
      <c r="Q206" s="7">
        <f>Q205/21</f>
        <v>1</v>
      </c>
    </row>
    <row r="207" spans="2:17" ht="4.5" customHeight="1">
      <c r="B207" s="11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</row>
    <row r="208" spans="1:17" ht="9">
      <c r="A208" s="5" t="s">
        <v>100</v>
      </c>
      <c r="B208" s="11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</row>
    <row r="209" spans="2:17" ht="9">
      <c r="B209" s="9" t="s">
        <v>94</v>
      </c>
      <c r="C209" s="3">
        <v>1668</v>
      </c>
      <c r="D209" s="3">
        <v>15451</v>
      </c>
      <c r="E209" s="3">
        <v>1387</v>
      </c>
      <c r="F209" s="3">
        <v>713</v>
      </c>
      <c r="G209" s="3">
        <v>9163</v>
      </c>
      <c r="H209" s="3">
        <v>86</v>
      </c>
      <c r="I209" s="3">
        <v>1367</v>
      </c>
      <c r="J209" s="3">
        <v>4543</v>
      </c>
      <c r="K209" s="3">
        <v>88</v>
      </c>
      <c r="L209" s="3">
        <v>24</v>
      </c>
      <c r="M209" s="3">
        <v>88</v>
      </c>
      <c r="N209" s="3">
        <v>202</v>
      </c>
      <c r="O209" s="3">
        <v>132</v>
      </c>
      <c r="P209" s="3">
        <v>75</v>
      </c>
      <c r="Q209" s="3">
        <v>10</v>
      </c>
    </row>
    <row r="210" spans="2:17" ht="9">
      <c r="B210" s="9" t="s">
        <v>95</v>
      </c>
      <c r="C210" s="3">
        <v>99</v>
      </c>
      <c r="D210" s="3">
        <v>855</v>
      </c>
      <c r="E210" s="3">
        <v>67</v>
      </c>
      <c r="F210" s="3">
        <v>38</v>
      </c>
      <c r="G210" s="3">
        <v>870</v>
      </c>
      <c r="H210" s="3">
        <v>4</v>
      </c>
      <c r="I210" s="3">
        <v>80</v>
      </c>
      <c r="J210" s="3">
        <v>307</v>
      </c>
      <c r="K210" s="3">
        <v>7</v>
      </c>
      <c r="L210" s="3">
        <v>1</v>
      </c>
      <c r="M210" s="3">
        <v>3</v>
      </c>
      <c r="N210" s="3">
        <v>12</v>
      </c>
      <c r="O210" s="3">
        <v>5</v>
      </c>
      <c r="P210" s="3">
        <v>3</v>
      </c>
      <c r="Q210" s="3">
        <v>0</v>
      </c>
    </row>
    <row r="211" spans="1:17" ht="9">
      <c r="A211" s="4" t="s">
        <v>28</v>
      </c>
      <c r="C211" s="3">
        <v>1767</v>
      </c>
      <c r="D211" s="3">
        <v>16306</v>
      </c>
      <c r="E211" s="3">
        <v>1454</v>
      </c>
      <c r="F211" s="3">
        <v>751</v>
      </c>
      <c r="G211" s="3">
        <v>10033</v>
      </c>
      <c r="H211" s="3">
        <v>90</v>
      </c>
      <c r="I211" s="3">
        <v>1447</v>
      </c>
      <c r="J211" s="3">
        <v>4850</v>
      </c>
      <c r="K211" s="3">
        <v>95</v>
      </c>
      <c r="L211" s="3">
        <v>25</v>
      </c>
      <c r="M211" s="3">
        <v>91</v>
      </c>
      <c r="N211" s="3">
        <v>214</v>
      </c>
      <c r="O211" s="3">
        <v>137</v>
      </c>
      <c r="P211" s="3">
        <v>78</v>
      </c>
      <c r="Q211" s="3">
        <v>10</v>
      </c>
    </row>
    <row r="212" spans="2:17" s="6" customFormat="1" ht="9">
      <c r="B212" s="10" t="s">
        <v>160</v>
      </c>
      <c r="C212" s="7">
        <f>C211/20278</f>
        <v>0.08713877108196075</v>
      </c>
      <c r="D212" s="7">
        <f>D211/20278</f>
        <v>0.8041226945458132</v>
      </c>
      <c r="E212" s="7">
        <f>E211/20278</f>
        <v>0.07170332379919124</v>
      </c>
      <c r="F212" s="7">
        <f>F211/20278</f>
        <v>0.03703521057303481</v>
      </c>
      <c r="G212" s="7">
        <f aca="true" t="shared" si="30" ref="G212:M212">G211/16631</f>
        <v>0.6032709999398713</v>
      </c>
      <c r="H212" s="7">
        <f t="shared" si="30"/>
        <v>0.005411580782875353</v>
      </c>
      <c r="I212" s="7">
        <f t="shared" si="30"/>
        <v>0.08700619325356262</v>
      </c>
      <c r="J212" s="7">
        <f t="shared" si="30"/>
        <v>0.29162407552161623</v>
      </c>
      <c r="K212" s="7">
        <f t="shared" si="30"/>
        <v>0.0057122241597017615</v>
      </c>
      <c r="L212" s="7">
        <f t="shared" si="30"/>
        <v>0.0015032168841320427</v>
      </c>
      <c r="M212" s="7">
        <f t="shared" si="30"/>
        <v>0.005471709458240635</v>
      </c>
      <c r="N212" s="7">
        <f>N211/214</f>
        <v>1</v>
      </c>
      <c r="O212" s="7">
        <f>O211/137</f>
        <v>1</v>
      </c>
      <c r="P212" s="7">
        <v>1</v>
      </c>
      <c r="Q212" s="7">
        <f>Q211/10</f>
        <v>1</v>
      </c>
    </row>
    <row r="213" spans="2:17" ht="4.5" customHeight="1">
      <c r="B213" s="11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</row>
    <row r="214" spans="1:17" ht="9">
      <c r="A214" s="5" t="s">
        <v>102</v>
      </c>
      <c r="B214" s="11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</row>
    <row r="215" spans="2:17" ht="9">
      <c r="B215" s="9" t="s">
        <v>97</v>
      </c>
      <c r="C215" s="3">
        <v>2111</v>
      </c>
      <c r="D215" s="3">
        <v>17673</v>
      </c>
      <c r="E215" s="3">
        <v>2386</v>
      </c>
      <c r="F215" s="3">
        <v>1354</v>
      </c>
      <c r="G215" s="3">
        <v>13118</v>
      </c>
      <c r="H215" s="3">
        <v>249</v>
      </c>
      <c r="I215" s="3">
        <v>11415</v>
      </c>
      <c r="J215" s="3">
        <v>27504</v>
      </c>
      <c r="K215" s="3">
        <v>431</v>
      </c>
      <c r="L215" s="3">
        <v>77</v>
      </c>
      <c r="M215" s="3">
        <v>245</v>
      </c>
      <c r="N215" s="3">
        <v>677</v>
      </c>
      <c r="O215" s="3">
        <v>131</v>
      </c>
      <c r="P215" s="3">
        <v>287</v>
      </c>
      <c r="Q215" s="3">
        <v>19</v>
      </c>
    </row>
    <row r="216" spans="2:17" ht="9">
      <c r="B216" s="9" t="s">
        <v>101</v>
      </c>
      <c r="C216" s="3">
        <v>16</v>
      </c>
      <c r="D216" s="3">
        <v>70</v>
      </c>
      <c r="E216" s="3">
        <v>32</v>
      </c>
      <c r="F216" s="3">
        <v>10</v>
      </c>
      <c r="G216" s="3">
        <v>18</v>
      </c>
      <c r="H216" s="3">
        <v>3</v>
      </c>
      <c r="I216" s="3">
        <v>29</v>
      </c>
      <c r="J216" s="3">
        <v>65</v>
      </c>
      <c r="K216" s="3">
        <v>2</v>
      </c>
      <c r="L216" s="3">
        <v>1</v>
      </c>
      <c r="M216" s="3">
        <v>1</v>
      </c>
      <c r="N216" s="3">
        <v>10</v>
      </c>
      <c r="O216" s="3">
        <v>0</v>
      </c>
      <c r="P216" s="3">
        <v>3</v>
      </c>
      <c r="Q216" s="3">
        <v>0</v>
      </c>
    </row>
    <row r="217" spans="1:17" ht="9">
      <c r="A217" s="4" t="s">
        <v>28</v>
      </c>
      <c r="C217" s="3">
        <v>2127</v>
      </c>
      <c r="D217" s="3">
        <v>17743</v>
      </c>
      <c r="E217" s="3">
        <v>2418</v>
      </c>
      <c r="F217" s="3">
        <v>1364</v>
      </c>
      <c r="G217" s="3">
        <v>13136</v>
      </c>
      <c r="H217" s="3">
        <v>252</v>
      </c>
      <c r="I217" s="3">
        <v>11444</v>
      </c>
      <c r="J217" s="3">
        <v>27569</v>
      </c>
      <c r="K217" s="3">
        <v>433</v>
      </c>
      <c r="L217" s="3">
        <v>78</v>
      </c>
      <c r="M217" s="3">
        <v>246</v>
      </c>
      <c r="N217" s="3">
        <v>687</v>
      </c>
      <c r="O217" s="3">
        <v>131</v>
      </c>
      <c r="P217" s="3">
        <v>290</v>
      </c>
      <c r="Q217" s="3">
        <v>19</v>
      </c>
    </row>
    <row r="218" spans="2:17" s="6" customFormat="1" ht="9">
      <c r="B218" s="10" t="s">
        <v>160</v>
      </c>
      <c r="C218" s="7">
        <f>C217/23652</f>
        <v>0.08992897006595636</v>
      </c>
      <c r="D218" s="7">
        <f>D217/23652</f>
        <v>0.7501691188905801</v>
      </c>
      <c r="E218" s="7">
        <f>E217/23652</f>
        <v>0.10223236935565702</v>
      </c>
      <c r="F218" s="7">
        <f>F217/23652</f>
        <v>0.057669541687806525</v>
      </c>
      <c r="G218" s="7">
        <f aca="true" t="shared" si="31" ref="G218:M218">G217/53158</f>
        <v>0.2471123819556793</v>
      </c>
      <c r="H218" s="7">
        <f t="shared" si="31"/>
        <v>0.00474058467210956</v>
      </c>
      <c r="I218" s="7">
        <f t="shared" si="31"/>
        <v>0.21528274201437225</v>
      </c>
      <c r="J218" s="7">
        <f t="shared" si="31"/>
        <v>0.5186237254975733</v>
      </c>
      <c r="K218" s="7">
        <f t="shared" si="31"/>
        <v>0.008145528424696189</v>
      </c>
      <c r="L218" s="7">
        <f t="shared" si="31"/>
        <v>0.0014673238270815306</v>
      </c>
      <c r="M218" s="7">
        <f t="shared" si="31"/>
        <v>0.004627713608487904</v>
      </c>
      <c r="N218" s="7">
        <f>N217/687</f>
        <v>1</v>
      </c>
      <c r="O218" s="7">
        <f>O217/131</f>
        <v>1</v>
      </c>
      <c r="P218" s="7">
        <v>1</v>
      </c>
      <c r="Q218" s="7">
        <f>Q217/19</f>
        <v>1</v>
      </c>
    </row>
    <row r="219" spans="2:17" ht="4.5" customHeight="1">
      <c r="B219" s="11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</row>
    <row r="220" spans="1:17" ht="9">
      <c r="A220" s="5" t="s">
        <v>105</v>
      </c>
      <c r="B220" s="11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</row>
    <row r="221" spans="2:17" ht="9">
      <c r="B221" s="9" t="s">
        <v>103</v>
      </c>
      <c r="C221" s="3">
        <v>1337</v>
      </c>
      <c r="D221" s="3">
        <v>14713</v>
      </c>
      <c r="E221" s="3">
        <v>1665</v>
      </c>
      <c r="F221" s="3">
        <v>829</v>
      </c>
      <c r="G221" s="3">
        <v>4561</v>
      </c>
      <c r="H221" s="3">
        <v>157</v>
      </c>
      <c r="I221" s="3">
        <v>10040</v>
      </c>
      <c r="J221" s="3">
        <v>16248</v>
      </c>
      <c r="K221" s="3">
        <v>250</v>
      </c>
      <c r="L221" s="3">
        <v>43</v>
      </c>
      <c r="M221" s="3">
        <v>167</v>
      </c>
      <c r="N221" s="3">
        <v>265</v>
      </c>
      <c r="O221" s="3">
        <v>601</v>
      </c>
      <c r="P221" s="3">
        <v>241</v>
      </c>
      <c r="Q221" s="3">
        <v>35</v>
      </c>
    </row>
    <row r="222" spans="2:17" ht="9">
      <c r="B222" s="9" t="s">
        <v>104</v>
      </c>
      <c r="C222" s="3">
        <v>640</v>
      </c>
      <c r="D222" s="3">
        <v>6945</v>
      </c>
      <c r="E222" s="3">
        <v>776</v>
      </c>
      <c r="F222" s="3">
        <v>390</v>
      </c>
      <c r="G222" s="3">
        <v>2255</v>
      </c>
      <c r="H222" s="3">
        <v>61</v>
      </c>
      <c r="I222" s="3">
        <v>4774</v>
      </c>
      <c r="J222" s="3">
        <v>8287</v>
      </c>
      <c r="K222" s="3">
        <v>130</v>
      </c>
      <c r="L222" s="3">
        <v>35</v>
      </c>
      <c r="M222" s="3">
        <v>58</v>
      </c>
      <c r="N222" s="3">
        <v>114</v>
      </c>
      <c r="O222" s="3">
        <v>50</v>
      </c>
      <c r="P222" s="3">
        <v>66</v>
      </c>
      <c r="Q222" s="3">
        <v>7</v>
      </c>
    </row>
    <row r="223" spans="1:17" ht="9">
      <c r="A223" s="4" t="s">
        <v>28</v>
      </c>
      <c r="C223" s="3">
        <v>1977</v>
      </c>
      <c r="D223" s="3">
        <v>21658</v>
      </c>
      <c r="E223" s="3">
        <v>2441</v>
      </c>
      <c r="F223" s="3">
        <v>1219</v>
      </c>
      <c r="G223" s="3">
        <v>6816</v>
      </c>
      <c r="H223" s="3">
        <v>218</v>
      </c>
      <c r="I223" s="3">
        <v>14814</v>
      </c>
      <c r="J223" s="3">
        <v>24535</v>
      </c>
      <c r="K223" s="3">
        <v>380</v>
      </c>
      <c r="L223" s="3">
        <v>78</v>
      </c>
      <c r="M223" s="3">
        <v>225</v>
      </c>
      <c r="N223" s="3">
        <v>379</v>
      </c>
      <c r="O223" s="3">
        <v>651</v>
      </c>
      <c r="P223" s="3">
        <v>307</v>
      </c>
      <c r="Q223" s="3">
        <v>42</v>
      </c>
    </row>
    <row r="224" spans="2:17" s="6" customFormat="1" ht="9">
      <c r="B224" s="10" t="s">
        <v>160</v>
      </c>
      <c r="C224" s="7">
        <f>C223/27295</f>
        <v>0.07243084814068511</v>
      </c>
      <c r="D224" s="7">
        <f>D223/27295</f>
        <v>0.7934786590950723</v>
      </c>
      <c r="E224" s="7">
        <f>E223/27295</f>
        <v>0.08943029858948526</v>
      </c>
      <c r="F224" s="7">
        <f>F223/27295</f>
        <v>0.04466019417475728</v>
      </c>
      <c r="G224" s="7">
        <f aca="true" t="shared" si="32" ref="G224:M224">G223/47066</f>
        <v>0.14481791526792165</v>
      </c>
      <c r="H224" s="7">
        <f t="shared" si="32"/>
        <v>0.0046317936514681515</v>
      </c>
      <c r="I224" s="7">
        <f t="shared" si="32"/>
        <v>0.3147495007011431</v>
      </c>
      <c r="J224" s="7">
        <f t="shared" si="32"/>
        <v>0.5212892533888582</v>
      </c>
      <c r="K224" s="7">
        <f t="shared" si="32"/>
        <v>0.008073768750265584</v>
      </c>
      <c r="L224" s="7">
        <f t="shared" si="32"/>
        <v>0.0016572472697913567</v>
      </c>
      <c r="M224" s="7">
        <f t="shared" si="32"/>
        <v>0.004780520970551991</v>
      </c>
      <c r="N224" s="7">
        <f>N223/379</f>
        <v>1</v>
      </c>
      <c r="O224" s="7">
        <f>O223/651</f>
        <v>1</v>
      </c>
      <c r="P224" s="7">
        <v>1</v>
      </c>
      <c r="Q224" s="7">
        <f>Q223/42</f>
        <v>1</v>
      </c>
    </row>
    <row r="225" spans="2:17" ht="4.5" customHeight="1">
      <c r="B225" s="11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</row>
    <row r="226" spans="1:17" ht="9">
      <c r="A226" s="5" t="s">
        <v>107</v>
      </c>
      <c r="B226" s="11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</row>
    <row r="227" spans="2:17" ht="9">
      <c r="B227" s="9" t="s">
        <v>106</v>
      </c>
      <c r="C227" s="3">
        <v>111</v>
      </c>
      <c r="D227" s="3">
        <v>1398</v>
      </c>
      <c r="E227" s="3">
        <v>169</v>
      </c>
      <c r="F227" s="3">
        <v>133</v>
      </c>
      <c r="G227" s="3">
        <v>597</v>
      </c>
      <c r="H227" s="3">
        <v>24</v>
      </c>
      <c r="I227" s="3">
        <v>988</v>
      </c>
      <c r="J227" s="3">
        <v>1378</v>
      </c>
      <c r="K227" s="3">
        <v>47</v>
      </c>
      <c r="L227" s="3">
        <v>6</v>
      </c>
      <c r="M227" s="3">
        <v>31</v>
      </c>
      <c r="N227" s="3">
        <v>78</v>
      </c>
      <c r="O227" s="3">
        <v>35</v>
      </c>
      <c r="P227" s="3">
        <v>27</v>
      </c>
      <c r="Q227" s="3">
        <v>4</v>
      </c>
    </row>
    <row r="228" spans="2:17" ht="9">
      <c r="B228" s="9" t="s">
        <v>97</v>
      </c>
      <c r="C228" s="3">
        <v>211</v>
      </c>
      <c r="D228" s="3">
        <v>1131</v>
      </c>
      <c r="E228" s="3">
        <v>239</v>
      </c>
      <c r="F228" s="3">
        <v>160</v>
      </c>
      <c r="G228" s="3">
        <v>473</v>
      </c>
      <c r="H228" s="3">
        <v>22</v>
      </c>
      <c r="I228" s="3">
        <v>1163</v>
      </c>
      <c r="J228" s="3">
        <v>1335</v>
      </c>
      <c r="K228" s="3">
        <v>59</v>
      </c>
      <c r="L228" s="3">
        <v>17</v>
      </c>
      <c r="M228" s="3">
        <v>33</v>
      </c>
      <c r="N228" s="3">
        <v>100</v>
      </c>
      <c r="O228" s="3">
        <v>13</v>
      </c>
      <c r="P228" s="3">
        <v>25</v>
      </c>
      <c r="Q228" s="3">
        <v>1</v>
      </c>
    </row>
    <row r="229" spans="2:17" ht="9">
      <c r="B229" s="9" t="s">
        <v>101</v>
      </c>
      <c r="C229" s="3">
        <v>228</v>
      </c>
      <c r="D229" s="3">
        <v>1707</v>
      </c>
      <c r="E229" s="3">
        <v>245</v>
      </c>
      <c r="F229" s="3">
        <v>215</v>
      </c>
      <c r="G229" s="3">
        <v>355</v>
      </c>
      <c r="H229" s="3">
        <v>27</v>
      </c>
      <c r="I229" s="3">
        <v>775</v>
      </c>
      <c r="J229" s="3">
        <v>1294</v>
      </c>
      <c r="K229" s="3">
        <v>68</v>
      </c>
      <c r="L229" s="3">
        <v>9</v>
      </c>
      <c r="M229" s="3">
        <v>37</v>
      </c>
      <c r="N229" s="3">
        <v>85</v>
      </c>
      <c r="O229" s="3">
        <v>9</v>
      </c>
      <c r="P229" s="3">
        <v>35</v>
      </c>
      <c r="Q229" s="3">
        <v>1</v>
      </c>
    </row>
    <row r="230" spans="2:17" ht="9">
      <c r="B230" s="9" t="s">
        <v>95</v>
      </c>
      <c r="C230" s="3">
        <v>1092</v>
      </c>
      <c r="D230" s="3">
        <v>9324</v>
      </c>
      <c r="E230" s="3">
        <v>1083</v>
      </c>
      <c r="F230" s="3">
        <v>708</v>
      </c>
      <c r="G230" s="3">
        <v>15959</v>
      </c>
      <c r="H230" s="3">
        <v>83</v>
      </c>
      <c r="I230" s="3">
        <v>1826</v>
      </c>
      <c r="J230" s="3">
        <v>7107</v>
      </c>
      <c r="K230" s="3">
        <v>189</v>
      </c>
      <c r="L230" s="3">
        <v>50</v>
      </c>
      <c r="M230" s="3">
        <v>75</v>
      </c>
      <c r="N230" s="3">
        <v>193</v>
      </c>
      <c r="O230" s="3">
        <v>79</v>
      </c>
      <c r="P230" s="3">
        <v>73</v>
      </c>
      <c r="Q230" s="3">
        <v>7</v>
      </c>
    </row>
    <row r="231" spans="1:17" ht="9">
      <c r="A231" s="4" t="s">
        <v>28</v>
      </c>
      <c r="C231" s="3">
        <v>1642</v>
      </c>
      <c r="D231" s="3">
        <v>13560</v>
      </c>
      <c r="E231" s="3">
        <v>1736</v>
      </c>
      <c r="F231" s="3">
        <v>1216</v>
      </c>
      <c r="G231" s="3">
        <v>17384</v>
      </c>
      <c r="H231" s="3">
        <v>156</v>
      </c>
      <c r="I231" s="3">
        <v>4752</v>
      </c>
      <c r="J231" s="3">
        <v>11114</v>
      </c>
      <c r="K231" s="3">
        <v>363</v>
      </c>
      <c r="L231" s="3">
        <v>82</v>
      </c>
      <c r="M231" s="3">
        <v>176</v>
      </c>
      <c r="N231" s="3">
        <v>456</v>
      </c>
      <c r="O231" s="3">
        <v>136</v>
      </c>
      <c r="P231" s="3">
        <v>160</v>
      </c>
      <c r="Q231" s="3">
        <v>13</v>
      </c>
    </row>
    <row r="232" spans="2:17" s="6" customFormat="1" ht="9">
      <c r="B232" s="10" t="s">
        <v>160</v>
      </c>
      <c r="C232" s="7">
        <f>C231/18154</f>
        <v>0.09044838603062685</v>
      </c>
      <c r="D232" s="7">
        <f>D231/18154</f>
        <v>0.7469428225184532</v>
      </c>
      <c r="E232" s="7">
        <f>E231/18154</f>
        <v>0.09562630825162499</v>
      </c>
      <c r="F232" s="7">
        <f>F231/18154</f>
        <v>0.06698248319929492</v>
      </c>
      <c r="G232" s="7">
        <f aca="true" t="shared" si="33" ref="G232:M232">G231/34027</f>
        <v>0.5108884121432979</v>
      </c>
      <c r="H232" s="7">
        <f t="shared" si="33"/>
        <v>0.004584594586651777</v>
      </c>
      <c r="I232" s="7">
        <f t="shared" si="33"/>
        <v>0.13965380433185412</v>
      </c>
      <c r="J232" s="7">
        <f t="shared" si="33"/>
        <v>0.32662297587210154</v>
      </c>
      <c r="K232" s="7">
        <f t="shared" si="33"/>
        <v>0.010667998942016635</v>
      </c>
      <c r="L232" s="7">
        <f t="shared" si="33"/>
        <v>0.002409851000675934</v>
      </c>
      <c r="M232" s="7">
        <f t="shared" si="33"/>
        <v>0.005172363123402004</v>
      </c>
      <c r="N232" s="7">
        <f>N231/456</f>
        <v>1</v>
      </c>
      <c r="O232" s="7">
        <f>O231/136</f>
        <v>1</v>
      </c>
      <c r="P232" s="7">
        <v>1</v>
      </c>
      <c r="Q232" s="7">
        <f>Q231/13</f>
        <v>1</v>
      </c>
    </row>
    <row r="233" spans="2:17" ht="4.5" customHeight="1">
      <c r="B233" s="11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</row>
    <row r="234" spans="1:17" ht="9">
      <c r="A234" s="5" t="s">
        <v>109</v>
      </c>
      <c r="B234" s="11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</row>
    <row r="235" spans="2:17" ht="9">
      <c r="B235" s="9" t="s">
        <v>104</v>
      </c>
      <c r="C235" s="3">
        <v>1060</v>
      </c>
      <c r="D235" s="3">
        <v>15519</v>
      </c>
      <c r="E235" s="3">
        <v>1202</v>
      </c>
      <c r="F235" s="3">
        <v>623</v>
      </c>
      <c r="G235" s="3">
        <v>2082</v>
      </c>
      <c r="H235" s="3">
        <v>90</v>
      </c>
      <c r="I235" s="3">
        <v>8767</v>
      </c>
      <c r="J235" s="3">
        <v>9504</v>
      </c>
      <c r="K235" s="3">
        <v>85</v>
      </c>
      <c r="L235" s="3">
        <v>61</v>
      </c>
      <c r="M235" s="3">
        <v>96</v>
      </c>
      <c r="N235" s="3">
        <v>147</v>
      </c>
      <c r="O235" s="3">
        <v>641</v>
      </c>
      <c r="P235" s="3">
        <v>178</v>
      </c>
      <c r="Q235" s="3">
        <v>51</v>
      </c>
    </row>
    <row r="236" spans="2:17" ht="9">
      <c r="B236" s="9" t="s">
        <v>108</v>
      </c>
      <c r="C236" s="3">
        <v>889</v>
      </c>
      <c r="D236" s="3">
        <v>11030</v>
      </c>
      <c r="E236" s="3">
        <v>862</v>
      </c>
      <c r="F236" s="3">
        <v>456</v>
      </c>
      <c r="G236" s="3">
        <v>1404</v>
      </c>
      <c r="H236" s="3">
        <v>71</v>
      </c>
      <c r="I236" s="3">
        <v>5229</v>
      </c>
      <c r="J236" s="3">
        <v>5812</v>
      </c>
      <c r="K236" s="3">
        <v>109</v>
      </c>
      <c r="L236" s="3">
        <v>56</v>
      </c>
      <c r="M236" s="3">
        <v>78</v>
      </c>
      <c r="N236" s="3">
        <v>149</v>
      </c>
      <c r="O236" s="3">
        <v>225</v>
      </c>
      <c r="P236" s="3">
        <v>110</v>
      </c>
      <c r="Q236" s="3">
        <v>20</v>
      </c>
    </row>
    <row r="237" spans="1:17" ht="9">
      <c r="A237" s="4" t="s">
        <v>28</v>
      </c>
      <c r="C237" s="3">
        <v>1949</v>
      </c>
      <c r="D237" s="3">
        <v>26549</v>
      </c>
      <c r="E237" s="3">
        <v>2064</v>
      </c>
      <c r="F237" s="3">
        <v>1079</v>
      </c>
      <c r="G237" s="3">
        <v>3486</v>
      </c>
      <c r="H237" s="3">
        <v>161</v>
      </c>
      <c r="I237" s="3">
        <v>13996</v>
      </c>
      <c r="J237" s="3">
        <v>15316</v>
      </c>
      <c r="K237" s="3">
        <v>194</v>
      </c>
      <c r="L237" s="3">
        <v>117</v>
      </c>
      <c r="M237" s="3">
        <v>174</v>
      </c>
      <c r="N237" s="3">
        <v>296</v>
      </c>
      <c r="O237" s="3">
        <v>866</v>
      </c>
      <c r="P237" s="3">
        <v>288</v>
      </c>
      <c r="Q237" s="3">
        <v>71</v>
      </c>
    </row>
    <row r="238" spans="2:17" s="6" customFormat="1" ht="9">
      <c r="B238" s="10" t="s">
        <v>160</v>
      </c>
      <c r="C238" s="7">
        <f>C237/31641</f>
        <v>0.061597294649347364</v>
      </c>
      <c r="D238" s="7">
        <f>D237/31641</f>
        <v>0.8390695616447015</v>
      </c>
      <c r="E238" s="7">
        <f>E237/31641</f>
        <v>0.06523181947473215</v>
      </c>
      <c r="F238" s="7">
        <f>F237/31641</f>
        <v>0.03410132423121899</v>
      </c>
      <c r="G238" s="7">
        <f aca="true" t="shared" si="34" ref="G238:M238">G237/33444</f>
        <v>0.10423394330821673</v>
      </c>
      <c r="H238" s="7">
        <f t="shared" si="34"/>
        <v>0.004814017462026073</v>
      </c>
      <c r="I238" s="7">
        <f t="shared" si="34"/>
        <v>0.4184906111709126</v>
      </c>
      <c r="J238" s="7">
        <f t="shared" si="34"/>
        <v>0.45795957421361083</v>
      </c>
      <c r="K238" s="7">
        <f t="shared" si="34"/>
        <v>0.00580074153809353</v>
      </c>
      <c r="L238" s="7">
        <f t="shared" si="34"/>
        <v>0.0034983853606027986</v>
      </c>
      <c r="M238" s="7">
        <f t="shared" si="34"/>
        <v>0.0052027269465374955</v>
      </c>
      <c r="N238" s="7">
        <f>N237/296</f>
        <v>1</v>
      </c>
      <c r="O238" s="7">
        <f>O237/866</f>
        <v>1</v>
      </c>
      <c r="P238" s="7">
        <f>P237/288</f>
        <v>1</v>
      </c>
      <c r="Q238" s="7">
        <f>Q237/71</f>
        <v>1</v>
      </c>
    </row>
    <row r="239" spans="2:17" ht="4.5" customHeight="1">
      <c r="B239" s="11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</row>
    <row r="240" spans="1:17" ht="9">
      <c r="A240" s="5" t="s">
        <v>111</v>
      </c>
      <c r="B240" s="11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</row>
    <row r="241" spans="2:17" ht="9">
      <c r="B241" s="9" t="s">
        <v>110</v>
      </c>
      <c r="C241" s="3">
        <v>1000</v>
      </c>
      <c r="D241" s="3">
        <v>7450</v>
      </c>
      <c r="E241" s="3">
        <v>1343</v>
      </c>
      <c r="F241" s="3">
        <v>692</v>
      </c>
      <c r="G241" s="3">
        <v>2122</v>
      </c>
      <c r="H241" s="3">
        <v>123</v>
      </c>
      <c r="I241" s="3">
        <v>8815</v>
      </c>
      <c r="J241" s="3">
        <v>8904</v>
      </c>
      <c r="K241" s="3">
        <v>183</v>
      </c>
      <c r="L241" s="3">
        <v>60</v>
      </c>
      <c r="M241" s="3">
        <v>116</v>
      </c>
      <c r="N241" s="3">
        <v>264</v>
      </c>
      <c r="O241" s="3">
        <v>66</v>
      </c>
      <c r="P241" s="3">
        <v>104</v>
      </c>
      <c r="Q241" s="3">
        <v>67</v>
      </c>
    </row>
    <row r="242" spans="2:17" ht="9">
      <c r="B242" s="9" t="s">
        <v>101</v>
      </c>
      <c r="C242" s="3">
        <v>409</v>
      </c>
      <c r="D242" s="3">
        <v>3502</v>
      </c>
      <c r="E242" s="3">
        <v>441</v>
      </c>
      <c r="F242" s="3">
        <v>301</v>
      </c>
      <c r="G242" s="3">
        <v>842</v>
      </c>
      <c r="H242" s="3">
        <v>68</v>
      </c>
      <c r="I242" s="3">
        <v>3224</v>
      </c>
      <c r="J242" s="3">
        <v>4464</v>
      </c>
      <c r="K242" s="3">
        <v>95</v>
      </c>
      <c r="L242" s="3">
        <v>26</v>
      </c>
      <c r="M242" s="3">
        <v>63</v>
      </c>
      <c r="N242" s="3">
        <v>100</v>
      </c>
      <c r="O242" s="3">
        <v>37</v>
      </c>
      <c r="P242" s="3">
        <v>60</v>
      </c>
      <c r="Q242" s="3">
        <v>4</v>
      </c>
    </row>
    <row r="243" spans="1:17" ht="9">
      <c r="A243" s="4" t="s">
        <v>28</v>
      </c>
      <c r="C243" s="3">
        <v>1409</v>
      </c>
      <c r="D243" s="3">
        <v>10952</v>
      </c>
      <c r="E243" s="3">
        <v>1784</v>
      </c>
      <c r="F243" s="3">
        <v>993</v>
      </c>
      <c r="G243" s="3">
        <v>2964</v>
      </c>
      <c r="H243" s="3">
        <v>191</v>
      </c>
      <c r="I243" s="3">
        <v>12039</v>
      </c>
      <c r="J243" s="3">
        <v>13368</v>
      </c>
      <c r="K243" s="3">
        <v>278</v>
      </c>
      <c r="L243" s="3">
        <v>86</v>
      </c>
      <c r="M243" s="3">
        <v>179</v>
      </c>
      <c r="N243" s="3">
        <v>364</v>
      </c>
      <c r="O243" s="3">
        <v>103</v>
      </c>
      <c r="P243" s="3">
        <v>164</v>
      </c>
      <c r="Q243" s="3">
        <v>71</v>
      </c>
    </row>
    <row r="244" spans="2:17" s="6" customFormat="1" ht="9">
      <c r="B244" s="10" t="s">
        <v>160</v>
      </c>
      <c r="C244" s="7">
        <f>C243/15138</f>
        <v>0.09307702470603779</v>
      </c>
      <c r="D244" s="7">
        <f>D243/15138</f>
        <v>0.7234773417888757</v>
      </c>
      <c r="E244" s="7">
        <f>E243/15138</f>
        <v>0.11784912141630334</v>
      </c>
      <c r="F244" s="7">
        <f>F243/15138</f>
        <v>0.0655965120887832</v>
      </c>
      <c r="G244" s="7">
        <f aca="true" t="shared" si="35" ref="G244:M244">G243/29105</f>
        <v>0.10183817213537193</v>
      </c>
      <c r="H244" s="7">
        <f t="shared" si="35"/>
        <v>0.00656244631506614</v>
      </c>
      <c r="I244" s="7">
        <f t="shared" si="35"/>
        <v>0.4136402679951898</v>
      </c>
      <c r="J244" s="7">
        <f t="shared" si="35"/>
        <v>0.4593025253392888</v>
      </c>
      <c r="K244" s="7">
        <f t="shared" si="35"/>
        <v>0.00955162343239993</v>
      </c>
      <c r="L244" s="7">
        <f t="shared" si="35"/>
        <v>0.002954818759663288</v>
      </c>
      <c r="M244" s="7">
        <f t="shared" si="35"/>
        <v>0.006150146023020099</v>
      </c>
      <c r="N244" s="7">
        <f>N243/364</f>
        <v>1</v>
      </c>
      <c r="O244" s="7">
        <f>O243/103</f>
        <v>1</v>
      </c>
      <c r="P244" s="7">
        <v>1</v>
      </c>
      <c r="Q244" s="7">
        <f>Q243/71</f>
        <v>1</v>
      </c>
    </row>
    <row r="245" spans="2:17" ht="4.5" customHeight="1">
      <c r="B245" s="11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</row>
    <row r="246" spans="1:17" ht="9">
      <c r="A246" s="5" t="s">
        <v>112</v>
      </c>
      <c r="B246" s="11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</row>
    <row r="247" spans="2:17" ht="9">
      <c r="B247" s="9" t="s">
        <v>97</v>
      </c>
      <c r="C247" s="3">
        <v>1</v>
      </c>
      <c r="D247" s="3">
        <v>1</v>
      </c>
      <c r="E247" s="3">
        <v>0</v>
      </c>
      <c r="F247" s="3">
        <v>0</v>
      </c>
      <c r="G247" s="3">
        <v>0</v>
      </c>
      <c r="H247" s="3">
        <v>0</v>
      </c>
      <c r="I247" s="3">
        <v>0</v>
      </c>
      <c r="J247" s="3">
        <v>3</v>
      </c>
      <c r="K247" s="3">
        <v>0</v>
      </c>
      <c r="L247" s="3">
        <v>0</v>
      </c>
      <c r="M247" s="3">
        <v>0</v>
      </c>
      <c r="N247" s="3">
        <v>0</v>
      </c>
      <c r="O247" s="3">
        <v>0</v>
      </c>
      <c r="P247" s="3">
        <v>0</v>
      </c>
      <c r="Q247" s="3">
        <v>0</v>
      </c>
    </row>
    <row r="248" spans="2:17" ht="9">
      <c r="B248" s="9" t="s">
        <v>110</v>
      </c>
      <c r="C248" s="3">
        <v>261</v>
      </c>
      <c r="D248" s="3">
        <v>2577</v>
      </c>
      <c r="E248" s="3">
        <v>349</v>
      </c>
      <c r="F248" s="3">
        <v>227</v>
      </c>
      <c r="G248" s="3">
        <v>544</v>
      </c>
      <c r="H248" s="3">
        <v>21</v>
      </c>
      <c r="I248" s="3">
        <v>2501</v>
      </c>
      <c r="J248" s="3">
        <v>2637</v>
      </c>
      <c r="K248" s="3">
        <v>30</v>
      </c>
      <c r="L248" s="3">
        <v>9</v>
      </c>
      <c r="M248" s="3">
        <v>35</v>
      </c>
      <c r="N248" s="3">
        <v>44</v>
      </c>
      <c r="O248" s="3">
        <v>38</v>
      </c>
      <c r="P248" s="3">
        <v>43</v>
      </c>
      <c r="Q248" s="3">
        <v>12</v>
      </c>
    </row>
    <row r="249" spans="2:17" ht="9">
      <c r="B249" s="9" t="s">
        <v>108</v>
      </c>
      <c r="C249" s="3">
        <v>1304</v>
      </c>
      <c r="D249" s="3">
        <v>18119</v>
      </c>
      <c r="E249" s="3">
        <v>1883</v>
      </c>
      <c r="F249" s="3">
        <v>901</v>
      </c>
      <c r="G249" s="3">
        <v>3729</v>
      </c>
      <c r="H249" s="3">
        <v>189</v>
      </c>
      <c r="I249" s="3">
        <v>17127</v>
      </c>
      <c r="J249" s="3">
        <v>18349</v>
      </c>
      <c r="K249" s="3">
        <v>181</v>
      </c>
      <c r="L249" s="3">
        <v>42</v>
      </c>
      <c r="M249" s="3">
        <v>253</v>
      </c>
      <c r="N249" s="3">
        <v>305</v>
      </c>
      <c r="O249" s="3">
        <v>340</v>
      </c>
      <c r="P249" s="3">
        <v>289</v>
      </c>
      <c r="Q249" s="3">
        <v>51</v>
      </c>
    </row>
    <row r="250" spans="1:17" ht="9">
      <c r="A250" s="4" t="s">
        <v>28</v>
      </c>
      <c r="C250" s="3">
        <v>1566</v>
      </c>
      <c r="D250" s="3">
        <v>20697</v>
      </c>
      <c r="E250" s="3">
        <v>2232</v>
      </c>
      <c r="F250" s="3">
        <v>1128</v>
      </c>
      <c r="G250" s="3">
        <v>4273</v>
      </c>
      <c r="H250" s="3">
        <v>210</v>
      </c>
      <c r="I250" s="3">
        <v>19628</v>
      </c>
      <c r="J250" s="3">
        <v>20989</v>
      </c>
      <c r="K250" s="3">
        <v>211</v>
      </c>
      <c r="L250" s="3">
        <v>51</v>
      </c>
      <c r="M250" s="3">
        <v>288</v>
      </c>
      <c r="N250" s="3">
        <v>349</v>
      </c>
      <c r="O250" s="3">
        <v>378</v>
      </c>
      <c r="P250" s="3">
        <v>332</v>
      </c>
      <c r="Q250" s="3">
        <v>63</v>
      </c>
    </row>
    <row r="251" spans="2:17" s="6" customFormat="1" ht="9">
      <c r="B251" s="10" t="s">
        <v>160</v>
      </c>
      <c r="C251" s="7">
        <f>C250/25623</f>
        <v>0.06111696522655427</v>
      </c>
      <c r="D251" s="7">
        <f>D250/25623</f>
        <v>0.8077508488467393</v>
      </c>
      <c r="E251" s="7">
        <f>E250/25623</f>
        <v>0.0871092377941693</v>
      </c>
      <c r="F251" s="7">
        <f>F250/25623</f>
        <v>0.044022948132537175</v>
      </c>
      <c r="G251" s="7">
        <f aca="true" t="shared" si="36" ref="G251:M251">G250/45650</f>
        <v>0.09360350492880613</v>
      </c>
      <c r="H251" s="7">
        <f t="shared" si="36"/>
        <v>0.004600219058050383</v>
      </c>
      <c r="I251" s="7">
        <f t="shared" si="36"/>
        <v>0.4299671412924425</v>
      </c>
      <c r="J251" s="7">
        <f t="shared" si="36"/>
        <v>0.45978094194961666</v>
      </c>
      <c r="K251" s="7">
        <f t="shared" si="36"/>
        <v>0.004622124863088719</v>
      </c>
      <c r="L251" s="7">
        <f t="shared" si="36"/>
        <v>0.0011171960569550932</v>
      </c>
      <c r="M251" s="7">
        <f t="shared" si="36"/>
        <v>0.006308871851040526</v>
      </c>
      <c r="N251" s="7">
        <f>N250/349</f>
        <v>1</v>
      </c>
      <c r="O251" s="7">
        <f>O250/378</f>
        <v>1</v>
      </c>
      <c r="P251" s="7">
        <f>P250/332</f>
        <v>1</v>
      </c>
      <c r="Q251" s="7">
        <f>Q250/63</f>
        <v>1</v>
      </c>
    </row>
    <row r="252" spans="2:17" ht="4.5" customHeight="1">
      <c r="B252" s="11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</row>
    <row r="253" spans="1:17" ht="9">
      <c r="A253" s="5" t="s">
        <v>113</v>
      </c>
      <c r="B253" s="11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</row>
    <row r="254" spans="2:17" ht="9">
      <c r="B254" s="9" t="s">
        <v>110</v>
      </c>
      <c r="C254" s="3">
        <v>1340</v>
      </c>
      <c r="D254" s="3">
        <v>13354</v>
      </c>
      <c r="E254" s="3">
        <v>1704</v>
      </c>
      <c r="F254" s="3">
        <v>1374</v>
      </c>
      <c r="G254" s="3">
        <v>2344</v>
      </c>
      <c r="H254" s="3">
        <v>101</v>
      </c>
      <c r="I254" s="3">
        <v>13414</v>
      </c>
      <c r="J254" s="3">
        <v>14808</v>
      </c>
      <c r="K254" s="3">
        <v>165</v>
      </c>
      <c r="L254" s="3">
        <v>32</v>
      </c>
      <c r="M254" s="3">
        <v>130</v>
      </c>
      <c r="N254" s="3">
        <v>269</v>
      </c>
      <c r="O254" s="3">
        <v>147</v>
      </c>
      <c r="P254" s="3">
        <v>231</v>
      </c>
      <c r="Q254" s="3">
        <v>82</v>
      </c>
    </row>
    <row r="255" spans="2:17" ht="9">
      <c r="B255" s="9" t="s">
        <v>108</v>
      </c>
      <c r="C255" s="3">
        <v>266</v>
      </c>
      <c r="D255" s="3">
        <v>2659</v>
      </c>
      <c r="E255" s="3">
        <v>311</v>
      </c>
      <c r="F255" s="3">
        <v>212</v>
      </c>
      <c r="G255" s="3">
        <v>677</v>
      </c>
      <c r="H255" s="3">
        <v>16</v>
      </c>
      <c r="I255" s="3">
        <v>2893</v>
      </c>
      <c r="J255" s="3">
        <v>3275</v>
      </c>
      <c r="K255" s="3">
        <v>35</v>
      </c>
      <c r="L255" s="3">
        <v>5</v>
      </c>
      <c r="M255" s="3">
        <v>51</v>
      </c>
      <c r="N255" s="3">
        <v>72</v>
      </c>
      <c r="O255" s="3">
        <v>24</v>
      </c>
      <c r="P255" s="3">
        <v>64</v>
      </c>
      <c r="Q255" s="3">
        <v>2</v>
      </c>
    </row>
    <row r="256" spans="1:17" ht="9">
      <c r="A256" s="4" t="s">
        <v>28</v>
      </c>
      <c r="C256" s="3">
        <v>1606</v>
      </c>
      <c r="D256" s="3">
        <v>16013</v>
      </c>
      <c r="E256" s="3">
        <v>2015</v>
      </c>
      <c r="F256" s="3">
        <v>1586</v>
      </c>
      <c r="G256" s="3">
        <v>3021</v>
      </c>
      <c r="H256" s="3">
        <v>117</v>
      </c>
      <c r="I256" s="3">
        <v>16307</v>
      </c>
      <c r="J256" s="3">
        <v>18083</v>
      </c>
      <c r="K256" s="3">
        <v>200</v>
      </c>
      <c r="L256" s="3">
        <v>37</v>
      </c>
      <c r="M256" s="3">
        <v>181</v>
      </c>
      <c r="N256" s="3">
        <v>341</v>
      </c>
      <c r="O256" s="3">
        <v>171</v>
      </c>
      <c r="P256" s="3">
        <v>295</v>
      </c>
      <c r="Q256" s="3">
        <v>84</v>
      </c>
    </row>
    <row r="257" spans="2:17" s="6" customFormat="1" ht="9">
      <c r="B257" s="10" t="s">
        <v>160</v>
      </c>
      <c r="C257" s="7">
        <f>C256/21220</f>
        <v>0.07568331762488219</v>
      </c>
      <c r="D257" s="7">
        <f>D256/21220</f>
        <v>0.7546182846371348</v>
      </c>
      <c r="E257" s="7">
        <f>E256/21220</f>
        <v>0.09495758718190386</v>
      </c>
      <c r="F257" s="7">
        <f>F256/21220</f>
        <v>0.07474081055607917</v>
      </c>
      <c r="G257" s="7">
        <f aca="true" t="shared" si="37" ref="G257:M257">G256/37946</f>
        <v>0.07961313445422442</v>
      </c>
      <c r="H257" s="7">
        <f t="shared" si="37"/>
        <v>0.0030833289411268646</v>
      </c>
      <c r="I257" s="7">
        <f t="shared" si="37"/>
        <v>0.42974226532440835</v>
      </c>
      <c r="J257" s="7">
        <f t="shared" si="37"/>
        <v>0.4765456174563854</v>
      </c>
      <c r="K257" s="7">
        <f t="shared" si="37"/>
        <v>0.0052706477626100244</v>
      </c>
      <c r="L257" s="7">
        <f t="shared" si="37"/>
        <v>0.0009750698360828546</v>
      </c>
      <c r="M257" s="7">
        <f t="shared" si="37"/>
        <v>0.004769936225162073</v>
      </c>
      <c r="N257" s="7">
        <f>N256/341</f>
        <v>1</v>
      </c>
      <c r="O257" s="7">
        <f>O256/171</f>
        <v>1</v>
      </c>
      <c r="P257" s="7">
        <f>P256/295</f>
        <v>1</v>
      </c>
      <c r="Q257" s="7">
        <f>Q256/84</f>
        <v>1</v>
      </c>
    </row>
    <row r="258" spans="2:17" ht="4.5" customHeight="1">
      <c r="B258" s="11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</row>
    <row r="259" spans="1:17" ht="9">
      <c r="A259" s="5" t="s">
        <v>114</v>
      </c>
      <c r="B259" s="11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</row>
    <row r="260" spans="2:17" ht="9">
      <c r="B260" s="9" t="s">
        <v>110</v>
      </c>
      <c r="C260" s="3">
        <v>1426</v>
      </c>
      <c r="D260" s="3">
        <v>17213</v>
      </c>
      <c r="E260" s="3">
        <v>1859</v>
      </c>
      <c r="F260" s="3">
        <v>652</v>
      </c>
      <c r="G260" s="3">
        <v>699</v>
      </c>
      <c r="H260" s="3">
        <v>41</v>
      </c>
      <c r="I260" s="3">
        <v>3335</v>
      </c>
      <c r="J260" s="3">
        <v>3074</v>
      </c>
      <c r="K260" s="3">
        <v>78</v>
      </c>
      <c r="L260" s="3">
        <v>17</v>
      </c>
      <c r="M260" s="3">
        <v>102</v>
      </c>
      <c r="N260" s="3">
        <v>193</v>
      </c>
      <c r="O260" s="3">
        <v>86</v>
      </c>
      <c r="P260" s="3">
        <v>84</v>
      </c>
      <c r="Q260" s="3">
        <v>109</v>
      </c>
    </row>
    <row r="261" spans="1:17" ht="9">
      <c r="A261" s="4" t="s">
        <v>28</v>
      </c>
      <c r="C261" s="3">
        <v>1426</v>
      </c>
      <c r="D261" s="3">
        <v>17213</v>
      </c>
      <c r="E261" s="3">
        <v>1859</v>
      </c>
      <c r="F261" s="3">
        <v>652</v>
      </c>
      <c r="G261" s="3">
        <v>699</v>
      </c>
      <c r="H261" s="3">
        <v>41</v>
      </c>
      <c r="I261" s="3">
        <v>3335</v>
      </c>
      <c r="J261" s="3">
        <v>3074</v>
      </c>
      <c r="K261" s="3">
        <v>78</v>
      </c>
      <c r="L261" s="3">
        <v>17</v>
      </c>
      <c r="M261" s="3">
        <v>102</v>
      </c>
      <c r="N261" s="3">
        <v>193</v>
      </c>
      <c r="O261" s="3">
        <v>86</v>
      </c>
      <c r="P261" s="3">
        <v>84</v>
      </c>
      <c r="Q261" s="3">
        <v>109</v>
      </c>
    </row>
    <row r="262" spans="2:17" s="6" customFormat="1" ht="9">
      <c r="B262" s="10" t="s">
        <v>160</v>
      </c>
      <c r="C262" s="7">
        <f>C261/21150</f>
        <v>0.06742316784869977</v>
      </c>
      <c r="D262" s="7">
        <f>D261/21150</f>
        <v>0.8138534278959811</v>
      </c>
      <c r="E262" s="7">
        <f>E261/21150</f>
        <v>0.08789598108747045</v>
      </c>
      <c r="F262" s="7">
        <f>F261/21150</f>
        <v>0.0308274231678487</v>
      </c>
      <c r="G262" s="7">
        <f aca="true" t="shared" si="38" ref="G262:M262">G261/7346</f>
        <v>0.09515382521099919</v>
      </c>
      <c r="H262" s="7">
        <f t="shared" si="38"/>
        <v>0.00558126871766948</v>
      </c>
      <c r="I262" s="7">
        <f t="shared" si="38"/>
        <v>0.45398856520555403</v>
      </c>
      <c r="J262" s="7">
        <f t="shared" si="38"/>
        <v>0.418459025319902</v>
      </c>
      <c r="K262" s="7">
        <f t="shared" si="38"/>
        <v>0.010618023414102912</v>
      </c>
      <c r="L262" s="7">
        <f t="shared" si="38"/>
        <v>0.002314184590253199</v>
      </c>
      <c r="M262" s="7">
        <f t="shared" si="38"/>
        <v>0.013885107541519195</v>
      </c>
      <c r="N262" s="7">
        <f>N261/193</f>
        <v>1</v>
      </c>
      <c r="O262" s="7">
        <f>O261/86</f>
        <v>1</v>
      </c>
      <c r="P262" s="7">
        <f>P261/84</f>
        <v>1</v>
      </c>
      <c r="Q262" s="7">
        <f>Q261/109</f>
        <v>1</v>
      </c>
    </row>
    <row r="263" spans="2:17" ht="4.5" customHeight="1">
      <c r="B263" s="11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</row>
    <row r="264" spans="1:17" ht="9">
      <c r="A264" s="5" t="s">
        <v>115</v>
      </c>
      <c r="B264" s="11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</row>
    <row r="265" spans="2:17" ht="9">
      <c r="B265" s="9" t="s">
        <v>110</v>
      </c>
      <c r="C265" s="3">
        <v>1286</v>
      </c>
      <c r="D265" s="3">
        <v>19240</v>
      </c>
      <c r="E265" s="3">
        <v>1980</v>
      </c>
      <c r="F265" s="3">
        <v>1179</v>
      </c>
      <c r="G265" s="3">
        <v>1734</v>
      </c>
      <c r="H265" s="3">
        <v>78</v>
      </c>
      <c r="I265" s="3">
        <v>8632</v>
      </c>
      <c r="J265" s="3">
        <v>8680</v>
      </c>
      <c r="K265" s="3">
        <v>131</v>
      </c>
      <c r="L265" s="3">
        <v>37</v>
      </c>
      <c r="M265" s="3">
        <v>89</v>
      </c>
      <c r="N265" s="3">
        <v>230</v>
      </c>
      <c r="O265" s="3">
        <v>167</v>
      </c>
      <c r="P265" s="3">
        <v>189</v>
      </c>
      <c r="Q265" s="3">
        <v>80</v>
      </c>
    </row>
    <row r="266" spans="1:17" ht="9">
      <c r="A266" s="4" t="s">
        <v>28</v>
      </c>
      <c r="C266" s="3">
        <v>1286</v>
      </c>
      <c r="D266" s="3">
        <v>19240</v>
      </c>
      <c r="E266" s="3">
        <v>1980</v>
      </c>
      <c r="F266" s="3">
        <v>1179</v>
      </c>
      <c r="G266" s="3">
        <v>1734</v>
      </c>
      <c r="H266" s="3">
        <v>78</v>
      </c>
      <c r="I266" s="3">
        <v>8632</v>
      </c>
      <c r="J266" s="3">
        <v>8680</v>
      </c>
      <c r="K266" s="3">
        <v>131</v>
      </c>
      <c r="L266" s="3">
        <v>37</v>
      </c>
      <c r="M266" s="3">
        <v>89</v>
      </c>
      <c r="N266" s="3">
        <v>230</v>
      </c>
      <c r="O266" s="3">
        <v>167</v>
      </c>
      <c r="P266" s="3">
        <v>189</v>
      </c>
      <c r="Q266" s="3">
        <v>80</v>
      </c>
    </row>
    <row r="267" spans="2:17" s="6" customFormat="1" ht="9">
      <c r="B267" s="10" t="s">
        <v>160</v>
      </c>
      <c r="C267" s="7">
        <f>C266/23685</f>
        <v>0.054295967912180707</v>
      </c>
      <c r="D267" s="7">
        <f>D266/23685</f>
        <v>0.8123284779396243</v>
      </c>
      <c r="E267" s="7">
        <f>E266/23685</f>
        <v>0.08359721342621912</v>
      </c>
      <c r="F267" s="7">
        <f>F266/23685</f>
        <v>0.049778340721975935</v>
      </c>
      <c r="G267" s="7">
        <f aca="true" t="shared" si="39" ref="G267:M267">G266/19381</f>
        <v>0.08946906764356845</v>
      </c>
      <c r="H267" s="7">
        <f t="shared" si="39"/>
        <v>0.004024560136215881</v>
      </c>
      <c r="I267" s="7">
        <f t="shared" si="39"/>
        <v>0.44538465507455754</v>
      </c>
      <c r="J267" s="7">
        <f t="shared" si="39"/>
        <v>0.447861307466075</v>
      </c>
      <c r="K267" s="7">
        <f t="shared" si="39"/>
        <v>0.0067591971518497496</v>
      </c>
      <c r="L267" s="7">
        <f t="shared" si="39"/>
        <v>0.0019090862184613798</v>
      </c>
      <c r="M267" s="7">
        <f t="shared" si="39"/>
        <v>0.004592126309271968</v>
      </c>
      <c r="N267" s="7">
        <f>N266/230</f>
        <v>1</v>
      </c>
      <c r="O267" s="7">
        <f>O266/167</f>
        <v>1</v>
      </c>
      <c r="P267" s="7">
        <f>P266/189</f>
        <v>1</v>
      </c>
      <c r="Q267" s="7">
        <f>Q266/80</f>
        <v>1</v>
      </c>
    </row>
    <row r="268" spans="2:17" ht="4.5" customHeight="1">
      <c r="B268" s="11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</row>
    <row r="269" spans="1:17" ht="9">
      <c r="A269" s="5" t="s">
        <v>116</v>
      </c>
      <c r="B269" s="11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</row>
    <row r="270" spans="2:17" ht="9">
      <c r="B270" s="9" t="s">
        <v>110</v>
      </c>
      <c r="C270" s="3">
        <v>1213</v>
      </c>
      <c r="D270" s="3">
        <v>23076</v>
      </c>
      <c r="E270" s="3">
        <v>2039</v>
      </c>
      <c r="F270" s="3">
        <v>1176</v>
      </c>
      <c r="G270" s="3">
        <v>1382</v>
      </c>
      <c r="H270" s="3">
        <v>71</v>
      </c>
      <c r="I270" s="3">
        <v>12690</v>
      </c>
      <c r="J270" s="3">
        <v>8382</v>
      </c>
      <c r="K270" s="3">
        <v>77</v>
      </c>
      <c r="L270" s="3">
        <v>24</v>
      </c>
      <c r="M270" s="3">
        <v>81</v>
      </c>
      <c r="N270" s="3">
        <v>173</v>
      </c>
      <c r="O270" s="3">
        <v>422</v>
      </c>
      <c r="P270" s="3">
        <v>227</v>
      </c>
      <c r="Q270" s="3">
        <v>84</v>
      </c>
    </row>
    <row r="271" spans="2:17" ht="9">
      <c r="B271" s="9" t="s">
        <v>108</v>
      </c>
      <c r="C271" s="3">
        <v>328</v>
      </c>
      <c r="D271" s="3">
        <v>5181</v>
      </c>
      <c r="E271" s="3">
        <v>543</v>
      </c>
      <c r="F271" s="3">
        <v>238</v>
      </c>
      <c r="G271" s="3">
        <v>715</v>
      </c>
      <c r="H271" s="3">
        <v>33</v>
      </c>
      <c r="I271" s="3">
        <v>3037</v>
      </c>
      <c r="J271" s="3">
        <v>2733</v>
      </c>
      <c r="K271" s="3">
        <v>79</v>
      </c>
      <c r="L271" s="3">
        <v>15</v>
      </c>
      <c r="M271" s="3">
        <v>44</v>
      </c>
      <c r="N271" s="3">
        <v>74</v>
      </c>
      <c r="O271" s="3">
        <v>78</v>
      </c>
      <c r="P271" s="3">
        <v>63</v>
      </c>
      <c r="Q271" s="3">
        <v>6</v>
      </c>
    </row>
    <row r="272" spans="1:17" ht="9">
      <c r="A272" s="4" t="s">
        <v>28</v>
      </c>
      <c r="C272" s="3">
        <v>1541</v>
      </c>
      <c r="D272" s="3">
        <v>28257</v>
      </c>
      <c r="E272" s="3">
        <v>2582</v>
      </c>
      <c r="F272" s="3">
        <v>1414</v>
      </c>
      <c r="G272" s="3">
        <v>2097</v>
      </c>
      <c r="H272" s="3">
        <v>104</v>
      </c>
      <c r="I272" s="3">
        <v>15727</v>
      </c>
      <c r="J272" s="3">
        <v>11115</v>
      </c>
      <c r="K272" s="3">
        <v>156</v>
      </c>
      <c r="L272" s="3">
        <v>39</v>
      </c>
      <c r="M272" s="3">
        <v>125</v>
      </c>
      <c r="N272" s="3">
        <v>247</v>
      </c>
      <c r="O272" s="3">
        <v>500</v>
      </c>
      <c r="P272" s="3">
        <v>290</v>
      </c>
      <c r="Q272" s="3">
        <v>90</v>
      </c>
    </row>
    <row r="273" spans="2:17" s="6" customFormat="1" ht="9">
      <c r="B273" s="10" t="s">
        <v>160</v>
      </c>
      <c r="C273" s="7">
        <f>C272/33794</f>
        <v>0.04559981061726934</v>
      </c>
      <c r="D273" s="7">
        <f>D272/33794</f>
        <v>0.8361543469254897</v>
      </c>
      <c r="E273" s="7">
        <f>E272/33794</f>
        <v>0.07640409540155058</v>
      </c>
      <c r="F273" s="7">
        <f>F272/33794</f>
        <v>0.04184174705569036</v>
      </c>
      <c r="G273" s="7">
        <f aca="true" t="shared" si="40" ref="G273:M273">G272/29363</f>
        <v>0.07141640840513572</v>
      </c>
      <c r="H273" s="7">
        <f t="shared" si="40"/>
        <v>0.0035418724244797874</v>
      </c>
      <c r="I273" s="7">
        <f t="shared" si="40"/>
        <v>0.5356060348057079</v>
      </c>
      <c r="J273" s="7">
        <f t="shared" si="40"/>
        <v>0.3785376153662773</v>
      </c>
      <c r="K273" s="7">
        <f t="shared" si="40"/>
        <v>0.005312808636719681</v>
      </c>
      <c r="L273" s="7">
        <f t="shared" si="40"/>
        <v>0.0013282021591799202</v>
      </c>
      <c r="M273" s="7">
        <f t="shared" si="40"/>
        <v>0.004257058202499745</v>
      </c>
      <c r="N273" s="7">
        <f>N272/247</f>
        <v>1</v>
      </c>
      <c r="O273" s="7">
        <f>O272/500</f>
        <v>1</v>
      </c>
      <c r="P273" s="7">
        <f>P272/290</f>
        <v>1</v>
      </c>
      <c r="Q273" s="7">
        <f>Q272/90</f>
        <v>1</v>
      </c>
    </row>
    <row r="274" spans="2:17" ht="4.5" customHeight="1">
      <c r="B274" s="11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</row>
    <row r="275" spans="1:17" ht="9">
      <c r="A275" s="5" t="s">
        <v>117</v>
      </c>
      <c r="B275" s="11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</row>
    <row r="276" spans="2:17" ht="9">
      <c r="B276" s="9" t="s">
        <v>110</v>
      </c>
      <c r="C276" s="3">
        <v>1295</v>
      </c>
      <c r="D276" s="3">
        <v>31822</v>
      </c>
      <c r="E276" s="3">
        <v>2185</v>
      </c>
      <c r="F276" s="3">
        <v>1769</v>
      </c>
      <c r="G276" s="3">
        <v>1250</v>
      </c>
      <c r="H276" s="3">
        <v>71</v>
      </c>
      <c r="I276" s="3">
        <v>12597</v>
      </c>
      <c r="J276" s="3">
        <v>6677</v>
      </c>
      <c r="K276" s="3">
        <v>73</v>
      </c>
      <c r="L276" s="3">
        <v>69</v>
      </c>
      <c r="M276" s="3">
        <v>63</v>
      </c>
      <c r="N276" s="3">
        <v>196</v>
      </c>
      <c r="O276" s="3">
        <v>403</v>
      </c>
      <c r="P276" s="3">
        <v>241</v>
      </c>
      <c r="Q276" s="3">
        <v>96</v>
      </c>
    </row>
    <row r="277" spans="1:17" ht="9">
      <c r="A277" s="4" t="s">
        <v>28</v>
      </c>
      <c r="C277" s="3">
        <v>1295</v>
      </c>
      <c r="D277" s="3">
        <v>31822</v>
      </c>
      <c r="E277" s="3">
        <v>2185</v>
      </c>
      <c r="F277" s="3">
        <v>1769</v>
      </c>
      <c r="G277" s="3">
        <v>1250</v>
      </c>
      <c r="H277" s="3">
        <v>71</v>
      </c>
      <c r="I277" s="3">
        <v>12597</v>
      </c>
      <c r="J277" s="3">
        <v>6677</v>
      </c>
      <c r="K277" s="3">
        <v>73</v>
      </c>
      <c r="L277" s="3">
        <v>69</v>
      </c>
      <c r="M277" s="3">
        <v>63</v>
      </c>
      <c r="N277" s="3">
        <v>196</v>
      </c>
      <c r="O277" s="3">
        <v>403</v>
      </c>
      <c r="P277" s="3">
        <v>241</v>
      </c>
      <c r="Q277" s="3">
        <v>96</v>
      </c>
    </row>
    <row r="278" spans="2:17" s="6" customFormat="1" ht="9">
      <c r="B278" s="10" t="s">
        <v>160</v>
      </c>
      <c r="C278" s="7">
        <f>C277/37071</f>
        <v>0.034932966469747244</v>
      </c>
      <c r="D278" s="7">
        <f>D277/37071</f>
        <v>0.85840684092687</v>
      </c>
      <c r="E278" s="7">
        <f>E277/37071</f>
        <v>0.05894095114779747</v>
      </c>
      <c r="F278" s="7">
        <f>F277/37071</f>
        <v>0.04771924145558523</v>
      </c>
      <c r="G278" s="7">
        <f aca="true" t="shared" si="41" ref="G278:M278">G277/20800</f>
        <v>0.06009615384615385</v>
      </c>
      <c r="H278" s="7">
        <f t="shared" si="41"/>
        <v>0.0034134615384615384</v>
      </c>
      <c r="I278" s="7">
        <f t="shared" si="41"/>
        <v>0.605625</v>
      </c>
      <c r="J278" s="7">
        <f t="shared" si="41"/>
        <v>0.32100961538461537</v>
      </c>
      <c r="K278" s="7">
        <f t="shared" si="41"/>
        <v>0.0035096153846153845</v>
      </c>
      <c r="L278" s="7">
        <f t="shared" si="41"/>
        <v>0.0033173076923076923</v>
      </c>
      <c r="M278" s="7">
        <f t="shared" si="41"/>
        <v>0.0030288461538461537</v>
      </c>
      <c r="N278" s="7">
        <f>N277/196</f>
        <v>1</v>
      </c>
      <c r="O278" s="7">
        <f>O277/403</f>
        <v>1</v>
      </c>
      <c r="P278" s="7">
        <v>1</v>
      </c>
      <c r="Q278" s="7">
        <f>Q277/96</f>
        <v>1</v>
      </c>
    </row>
    <row r="279" spans="2:17" ht="4.5" customHeight="1">
      <c r="B279" s="11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</row>
    <row r="280" spans="1:17" ht="9">
      <c r="A280" s="5" t="s">
        <v>118</v>
      </c>
      <c r="B280" s="11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</row>
    <row r="281" spans="2:17" ht="9">
      <c r="B281" s="9" t="s">
        <v>110</v>
      </c>
      <c r="C281" s="3">
        <v>1472</v>
      </c>
      <c r="D281" s="3">
        <v>16852</v>
      </c>
      <c r="E281" s="3">
        <v>1587</v>
      </c>
      <c r="F281" s="3">
        <v>1013</v>
      </c>
      <c r="G281" s="3">
        <v>1762</v>
      </c>
      <c r="H281" s="3">
        <v>132</v>
      </c>
      <c r="I281" s="3">
        <v>9708</v>
      </c>
      <c r="J281" s="3">
        <v>8626</v>
      </c>
      <c r="K281" s="3">
        <v>116</v>
      </c>
      <c r="L281" s="3">
        <v>57</v>
      </c>
      <c r="M281" s="3">
        <v>123</v>
      </c>
      <c r="N281" s="3">
        <v>202</v>
      </c>
      <c r="O281" s="3">
        <v>297</v>
      </c>
      <c r="P281" s="3">
        <v>196</v>
      </c>
      <c r="Q281" s="3">
        <v>94</v>
      </c>
    </row>
    <row r="282" spans="1:17" ht="9">
      <c r="A282" s="4" t="s">
        <v>28</v>
      </c>
      <c r="C282" s="3">
        <v>1472</v>
      </c>
      <c r="D282" s="3">
        <v>16852</v>
      </c>
      <c r="E282" s="3">
        <v>1587</v>
      </c>
      <c r="F282" s="3">
        <v>1013</v>
      </c>
      <c r="G282" s="3">
        <v>1762</v>
      </c>
      <c r="H282" s="3">
        <v>132</v>
      </c>
      <c r="I282" s="3">
        <v>9708</v>
      </c>
      <c r="J282" s="3">
        <v>8626</v>
      </c>
      <c r="K282" s="3">
        <v>116</v>
      </c>
      <c r="L282" s="3">
        <v>57</v>
      </c>
      <c r="M282" s="3">
        <v>123</v>
      </c>
      <c r="N282" s="3">
        <v>202</v>
      </c>
      <c r="O282" s="3">
        <v>297</v>
      </c>
      <c r="P282" s="3">
        <v>196</v>
      </c>
      <c r="Q282" s="3">
        <v>94</v>
      </c>
    </row>
    <row r="283" spans="2:17" s="6" customFormat="1" ht="9">
      <c r="B283" s="10" t="s">
        <v>160</v>
      </c>
      <c r="C283" s="7">
        <f>C282/20924</f>
        <v>0.0703498375071688</v>
      </c>
      <c r="D283" s="7">
        <f>D282/20924</f>
        <v>0.8053909386350602</v>
      </c>
      <c r="E283" s="7">
        <f>E282/20924</f>
        <v>0.07584591856241636</v>
      </c>
      <c r="F283" s="7">
        <f>F282/20924</f>
        <v>0.04841330529535462</v>
      </c>
      <c r="G283" s="7">
        <f aca="true" t="shared" si="42" ref="G283:M283">G282/20524</f>
        <v>0.08585071136230754</v>
      </c>
      <c r="H283" s="7">
        <f t="shared" si="42"/>
        <v>0.006431494835314753</v>
      </c>
      <c r="I283" s="7">
        <f t="shared" si="42"/>
        <v>0.47300721106996685</v>
      </c>
      <c r="J283" s="7">
        <f t="shared" si="42"/>
        <v>0.4202884427986747</v>
      </c>
      <c r="K283" s="7">
        <f t="shared" si="42"/>
        <v>0.00565191970376145</v>
      </c>
      <c r="L283" s="7">
        <f t="shared" si="42"/>
        <v>0.0027772364061586434</v>
      </c>
      <c r="M283" s="7">
        <f t="shared" si="42"/>
        <v>0.00599298382381602</v>
      </c>
      <c r="N283" s="7">
        <f>N282/202</f>
        <v>1</v>
      </c>
      <c r="O283" s="7">
        <f>O282/297</f>
        <v>1</v>
      </c>
      <c r="P283" s="7">
        <v>1</v>
      </c>
      <c r="Q283" s="7">
        <f>Q282/94</f>
        <v>1</v>
      </c>
    </row>
    <row r="284" spans="2:17" ht="4.5" customHeight="1">
      <c r="B284" s="11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</row>
    <row r="285" spans="1:17" ht="9">
      <c r="A285" s="5" t="s">
        <v>119</v>
      </c>
      <c r="B285" s="11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</row>
    <row r="286" spans="2:17" ht="9">
      <c r="B286" s="9" t="s">
        <v>110</v>
      </c>
      <c r="C286" s="3">
        <v>1338</v>
      </c>
      <c r="D286" s="3">
        <v>21150</v>
      </c>
      <c r="E286" s="3">
        <v>2204</v>
      </c>
      <c r="F286" s="3">
        <v>1080</v>
      </c>
      <c r="G286" s="3">
        <v>2285</v>
      </c>
      <c r="H286" s="3">
        <v>115</v>
      </c>
      <c r="I286" s="3">
        <v>14979</v>
      </c>
      <c r="J286" s="3">
        <v>11899</v>
      </c>
      <c r="K286" s="3">
        <v>150</v>
      </c>
      <c r="L286" s="3">
        <v>35</v>
      </c>
      <c r="M286" s="3">
        <v>187</v>
      </c>
      <c r="N286" s="3">
        <v>215</v>
      </c>
      <c r="O286" s="3">
        <v>341</v>
      </c>
      <c r="P286" s="3">
        <v>202</v>
      </c>
      <c r="Q286" s="3">
        <v>100</v>
      </c>
    </row>
    <row r="287" spans="1:17" ht="9">
      <c r="A287" s="4" t="s">
        <v>28</v>
      </c>
      <c r="C287" s="3">
        <v>1338</v>
      </c>
      <c r="D287" s="3">
        <v>21150</v>
      </c>
      <c r="E287" s="3">
        <v>2204</v>
      </c>
      <c r="F287" s="3">
        <v>1080</v>
      </c>
      <c r="G287" s="3">
        <v>2285</v>
      </c>
      <c r="H287" s="3">
        <v>115</v>
      </c>
      <c r="I287" s="3">
        <v>14979</v>
      </c>
      <c r="J287" s="3">
        <v>11899</v>
      </c>
      <c r="K287" s="3">
        <v>150</v>
      </c>
      <c r="L287" s="3">
        <v>35</v>
      </c>
      <c r="M287" s="3">
        <v>187</v>
      </c>
      <c r="N287" s="3">
        <v>215</v>
      </c>
      <c r="O287" s="3">
        <v>341</v>
      </c>
      <c r="P287" s="3">
        <v>202</v>
      </c>
      <c r="Q287" s="3">
        <v>100</v>
      </c>
    </row>
    <row r="288" spans="2:17" s="6" customFormat="1" ht="9">
      <c r="B288" s="10" t="s">
        <v>160</v>
      </c>
      <c r="C288" s="7">
        <f>C287/25772</f>
        <v>0.05191680893993481</v>
      </c>
      <c r="D288" s="7">
        <f>D287/25772</f>
        <v>0.8206580785348441</v>
      </c>
      <c r="E288" s="7">
        <f>E287/25772</f>
        <v>0.08551916808939934</v>
      </c>
      <c r="F288" s="7">
        <f>F287/25772</f>
        <v>0.041905944435821824</v>
      </c>
      <c r="G288" s="7">
        <f aca="true" t="shared" si="43" ref="G288:M288">G287/29650</f>
        <v>0.07706576728499157</v>
      </c>
      <c r="H288" s="7">
        <f t="shared" si="43"/>
        <v>0.00387858347386172</v>
      </c>
      <c r="I288" s="7">
        <f t="shared" si="43"/>
        <v>0.5051939291736931</v>
      </c>
      <c r="J288" s="7">
        <f t="shared" si="43"/>
        <v>0.40131534569983135</v>
      </c>
      <c r="K288" s="7">
        <f t="shared" si="43"/>
        <v>0.00505902192242833</v>
      </c>
      <c r="L288" s="7">
        <f t="shared" si="43"/>
        <v>0.0011804384485666105</v>
      </c>
      <c r="M288" s="7">
        <f t="shared" si="43"/>
        <v>0.006306913996627319</v>
      </c>
      <c r="N288" s="7">
        <f>N287/215</f>
        <v>1</v>
      </c>
      <c r="O288" s="7">
        <f>O287/341</f>
        <v>1</v>
      </c>
      <c r="P288" s="7">
        <v>1</v>
      </c>
      <c r="Q288" s="7">
        <f>Q287/100</f>
        <v>1</v>
      </c>
    </row>
    <row r="289" spans="2:17" ht="4.5" customHeight="1">
      <c r="B289" s="11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</row>
    <row r="290" spans="1:17" ht="9">
      <c r="A290" s="5" t="s">
        <v>120</v>
      </c>
      <c r="B290" s="11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</row>
    <row r="291" spans="2:17" ht="9">
      <c r="B291" s="9" t="s">
        <v>110</v>
      </c>
      <c r="C291" s="3">
        <v>867</v>
      </c>
      <c r="D291" s="3">
        <v>15282</v>
      </c>
      <c r="E291" s="3">
        <v>1794</v>
      </c>
      <c r="F291" s="3">
        <v>522</v>
      </c>
      <c r="G291" s="3">
        <v>418</v>
      </c>
      <c r="H291" s="3">
        <v>39</v>
      </c>
      <c r="I291" s="3">
        <v>2825</v>
      </c>
      <c r="J291" s="3">
        <v>1538</v>
      </c>
      <c r="K291" s="3">
        <v>67</v>
      </c>
      <c r="L291" s="3">
        <v>22</v>
      </c>
      <c r="M291" s="3">
        <v>38</v>
      </c>
      <c r="N291" s="3">
        <v>174</v>
      </c>
      <c r="O291" s="3">
        <v>217</v>
      </c>
      <c r="P291" s="3">
        <v>99</v>
      </c>
      <c r="Q291" s="3">
        <v>70</v>
      </c>
    </row>
    <row r="292" spans="1:17" ht="9">
      <c r="A292" s="4" t="s">
        <v>28</v>
      </c>
      <c r="C292" s="3">
        <v>867</v>
      </c>
      <c r="D292" s="3">
        <v>15282</v>
      </c>
      <c r="E292" s="3">
        <v>1794</v>
      </c>
      <c r="F292" s="3">
        <v>522</v>
      </c>
      <c r="G292" s="3">
        <v>418</v>
      </c>
      <c r="H292" s="3">
        <v>39</v>
      </c>
      <c r="I292" s="3">
        <v>2825</v>
      </c>
      <c r="J292" s="3">
        <v>1538</v>
      </c>
      <c r="K292" s="3">
        <v>67</v>
      </c>
      <c r="L292" s="3">
        <v>22</v>
      </c>
      <c r="M292" s="3">
        <v>38</v>
      </c>
      <c r="N292" s="3">
        <v>174</v>
      </c>
      <c r="O292" s="3">
        <v>217</v>
      </c>
      <c r="P292" s="3">
        <v>99</v>
      </c>
      <c r="Q292" s="3">
        <v>70</v>
      </c>
    </row>
    <row r="293" spans="2:17" s="6" customFormat="1" ht="9">
      <c r="B293" s="10" t="s">
        <v>160</v>
      </c>
      <c r="C293" s="7">
        <f>C292/18465</f>
        <v>0.04695369618196588</v>
      </c>
      <c r="D293" s="7">
        <f>D292/18465</f>
        <v>0.8276198212835093</v>
      </c>
      <c r="E293" s="7">
        <f>E292/18465</f>
        <v>0.09715678310316815</v>
      </c>
      <c r="F293" s="7">
        <f>F292/18465</f>
        <v>0.02826969943135662</v>
      </c>
      <c r="G293" s="7">
        <f aca="true" t="shared" si="44" ref="G293:M293">G292/4947</f>
        <v>0.08449565393167577</v>
      </c>
      <c r="H293" s="7">
        <f t="shared" si="44"/>
        <v>0.007883565797453002</v>
      </c>
      <c r="I293" s="7">
        <f t="shared" si="44"/>
        <v>0.5710531635334546</v>
      </c>
      <c r="J293" s="7">
        <f t="shared" si="44"/>
        <v>0.31089549221750556</v>
      </c>
      <c r="K293" s="7">
        <f t="shared" si="44"/>
        <v>0.013543561754598747</v>
      </c>
      <c r="L293" s="7">
        <f t="shared" si="44"/>
        <v>0.004447139680614514</v>
      </c>
      <c r="M293" s="7">
        <f t="shared" si="44"/>
        <v>0.007681423084697796</v>
      </c>
      <c r="N293" s="7">
        <f>N292/174</f>
        <v>1</v>
      </c>
      <c r="O293" s="7">
        <f>O292/217</f>
        <v>1</v>
      </c>
      <c r="P293" s="7">
        <v>1</v>
      </c>
      <c r="Q293" s="7">
        <f>Q292/70</f>
        <v>1</v>
      </c>
    </row>
    <row r="294" spans="2:17" ht="4.5" customHeight="1">
      <c r="B294" s="11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</row>
    <row r="295" spans="1:17" ht="9">
      <c r="A295" s="5" t="s">
        <v>121</v>
      </c>
      <c r="B295" s="11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</row>
    <row r="296" spans="2:17" ht="9">
      <c r="B296" s="9" t="s">
        <v>110</v>
      </c>
      <c r="C296" s="3">
        <v>802</v>
      </c>
      <c r="D296" s="3">
        <v>15963</v>
      </c>
      <c r="E296" s="3">
        <v>1799</v>
      </c>
      <c r="F296" s="3">
        <v>450</v>
      </c>
      <c r="G296" s="3">
        <v>199</v>
      </c>
      <c r="H296" s="3">
        <v>29</v>
      </c>
      <c r="I296" s="3">
        <v>1344</v>
      </c>
      <c r="J296" s="3">
        <v>658</v>
      </c>
      <c r="K296" s="3">
        <v>50</v>
      </c>
      <c r="L296" s="3">
        <v>16</v>
      </c>
      <c r="M296" s="3">
        <v>28</v>
      </c>
      <c r="N296" s="3">
        <v>144</v>
      </c>
      <c r="O296" s="3">
        <v>45</v>
      </c>
      <c r="P296" s="3">
        <v>39</v>
      </c>
      <c r="Q296" s="3">
        <v>85</v>
      </c>
    </row>
    <row r="297" spans="1:17" ht="9">
      <c r="A297" s="4" t="s">
        <v>28</v>
      </c>
      <c r="C297" s="3">
        <v>802</v>
      </c>
      <c r="D297" s="3">
        <v>15963</v>
      </c>
      <c r="E297" s="3">
        <v>1799</v>
      </c>
      <c r="F297" s="3">
        <v>450</v>
      </c>
      <c r="G297" s="3">
        <v>199</v>
      </c>
      <c r="H297" s="3">
        <v>29</v>
      </c>
      <c r="I297" s="3">
        <v>1344</v>
      </c>
      <c r="J297" s="3">
        <v>658</v>
      </c>
      <c r="K297" s="3">
        <v>50</v>
      </c>
      <c r="L297" s="3">
        <v>16</v>
      </c>
      <c r="M297" s="3">
        <v>28</v>
      </c>
      <c r="N297" s="3">
        <v>144</v>
      </c>
      <c r="O297" s="3">
        <v>45</v>
      </c>
      <c r="P297" s="3">
        <v>39</v>
      </c>
      <c r="Q297" s="3">
        <v>85</v>
      </c>
    </row>
    <row r="298" spans="2:17" s="6" customFormat="1" ht="9">
      <c r="B298" s="10" t="s">
        <v>160</v>
      </c>
      <c r="C298" s="7">
        <f>C297/19014</f>
        <v>0.04217944672346692</v>
      </c>
      <c r="D298" s="7">
        <f>D297/19014</f>
        <v>0.8395392868412749</v>
      </c>
      <c r="E298" s="7">
        <f>E297/19014</f>
        <v>0.09461449458293889</v>
      </c>
      <c r="F298" s="7">
        <f>F297/19014</f>
        <v>0.023666771852319343</v>
      </c>
      <c r="G298" s="7">
        <f aca="true" t="shared" si="45" ref="G298:M298">G297/2324</f>
        <v>0.08562822719449226</v>
      </c>
      <c r="H298" s="7">
        <f t="shared" si="45"/>
        <v>0.012478485370051634</v>
      </c>
      <c r="I298" s="7">
        <f t="shared" si="45"/>
        <v>0.5783132530120482</v>
      </c>
      <c r="J298" s="7">
        <f t="shared" si="45"/>
        <v>0.28313253012048195</v>
      </c>
      <c r="K298" s="7">
        <f t="shared" si="45"/>
        <v>0.021514629948364887</v>
      </c>
      <c r="L298" s="7">
        <f t="shared" si="45"/>
        <v>0.0068846815834767644</v>
      </c>
      <c r="M298" s="7">
        <f t="shared" si="45"/>
        <v>0.012048192771084338</v>
      </c>
      <c r="N298" s="7">
        <f>N297/144</f>
        <v>1</v>
      </c>
      <c r="O298" s="7">
        <f>O297/45</f>
        <v>1</v>
      </c>
      <c r="P298" s="7">
        <f>P297/39</f>
        <v>1</v>
      </c>
      <c r="Q298" s="7">
        <f>Q297/85</f>
        <v>1</v>
      </c>
    </row>
    <row r="299" spans="2:17" ht="4.5" customHeight="1">
      <c r="B299" s="11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</row>
    <row r="300" spans="1:17" ht="9">
      <c r="A300" s="5" t="s">
        <v>122</v>
      </c>
      <c r="B300" s="11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</row>
    <row r="301" spans="2:17" ht="9">
      <c r="B301" s="9" t="s">
        <v>110</v>
      </c>
      <c r="C301" s="3">
        <v>1553</v>
      </c>
      <c r="D301" s="3">
        <v>34317</v>
      </c>
      <c r="E301" s="3">
        <v>1609</v>
      </c>
      <c r="F301" s="3">
        <v>1227</v>
      </c>
      <c r="G301" s="3">
        <v>724</v>
      </c>
      <c r="H301" s="3">
        <v>35</v>
      </c>
      <c r="I301" s="3">
        <v>5137</v>
      </c>
      <c r="J301" s="3">
        <v>2962</v>
      </c>
      <c r="K301" s="3">
        <v>56</v>
      </c>
      <c r="L301" s="3">
        <v>16</v>
      </c>
      <c r="M301" s="3">
        <v>49</v>
      </c>
      <c r="N301" s="3">
        <v>159</v>
      </c>
      <c r="O301" s="3">
        <v>301</v>
      </c>
      <c r="P301" s="3">
        <v>133</v>
      </c>
      <c r="Q301" s="3">
        <v>103</v>
      </c>
    </row>
    <row r="302" spans="1:17" ht="9">
      <c r="A302" s="4" t="s">
        <v>28</v>
      </c>
      <c r="C302" s="3">
        <v>1553</v>
      </c>
      <c r="D302" s="3">
        <v>34317</v>
      </c>
      <c r="E302" s="3">
        <v>1609</v>
      </c>
      <c r="F302" s="3">
        <v>1227</v>
      </c>
      <c r="G302" s="3">
        <v>724</v>
      </c>
      <c r="H302" s="3">
        <v>35</v>
      </c>
      <c r="I302" s="3">
        <v>5137</v>
      </c>
      <c r="J302" s="3">
        <v>2962</v>
      </c>
      <c r="K302" s="3">
        <v>56</v>
      </c>
      <c r="L302" s="3">
        <v>16</v>
      </c>
      <c r="M302" s="3">
        <v>49</v>
      </c>
      <c r="N302" s="3">
        <v>159</v>
      </c>
      <c r="O302" s="3">
        <v>301</v>
      </c>
      <c r="P302" s="3">
        <v>133</v>
      </c>
      <c r="Q302" s="3">
        <v>103</v>
      </c>
    </row>
    <row r="303" spans="2:17" s="6" customFormat="1" ht="9">
      <c r="B303" s="10" t="s">
        <v>160</v>
      </c>
      <c r="C303" s="7">
        <f>C302/38706</f>
        <v>0.04012297834960988</v>
      </c>
      <c r="D303" s="7">
        <f>D302/38706</f>
        <v>0.8866067276391257</v>
      </c>
      <c r="E303" s="7">
        <f>E302/38706</f>
        <v>0.041569782462667286</v>
      </c>
      <c r="F303" s="7">
        <f>F302/38706</f>
        <v>0.03170051154859712</v>
      </c>
      <c r="G303" s="7">
        <f aca="true" t="shared" si="46" ref="G303:M303">G302/8979</f>
        <v>0.08063258714778929</v>
      </c>
      <c r="H303" s="7">
        <f t="shared" si="46"/>
        <v>0.0038979841853213053</v>
      </c>
      <c r="I303" s="7">
        <f t="shared" si="46"/>
        <v>0.5721127074284441</v>
      </c>
      <c r="J303" s="7">
        <f t="shared" si="46"/>
        <v>0.3298808330549059</v>
      </c>
      <c r="K303" s="7">
        <f t="shared" si="46"/>
        <v>0.006236774696514088</v>
      </c>
      <c r="L303" s="7">
        <f t="shared" si="46"/>
        <v>0.0017819356275754537</v>
      </c>
      <c r="M303" s="7">
        <f t="shared" si="46"/>
        <v>0.005457177859449827</v>
      </c>
      <c r="N303" s="7">
        <f>N302/159</f>
        <v>1</v>
      </c>
      <c r="O303" s="7">
        <f>O302/301</f>
        <v>1</v>
      </c>
      <c r="P303" s="7">
        <v>1</v>
      </c>
      <c r="Q303" s="7">
        <f>Q302/103</f>
        <v>1</v>
      </c>
    </row>
    <row r="304" spans="2:17" ht="4.5" customHeight="1">
      <c r="B304" s="11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</row>
    <row r="305" spans="1:17" ht="9">
      <c r="A305" s="5" t="s">
        <v>123</v>
      </c>
      <c r="B305" s="11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</row>
    <row r="306" spans="2:17" ht="9">
      <c r="B306" s="9" t="s">
        <v>110</v>
      </c>
      <c r="C306" s="3">
        <v>474</v>
      </c>
      <c r="D306" s="3">
        <v>23941</v>
      </c>
      <c r="E306" s="3">
        <v>1101</v>
      </c>
      <c r="F306" s="3">
        <v>615</v>
      </c>
      <c r="G306" s="3">
        <v>251</v>
      </c>
      <c r="H306" s="3">
        <v>24</v>
      </c>
      <c r="I306" s="3">
        <v>1203</v>
      </c>
      <c r="J306" s="3">
        <v>560</v>
      </c>
      <c r="K306" s="3">
        <v>64</v>
      </c>
      <c r="L306" s="3">
        <v>14</v>
      </c>
      <c r="M306" s="3">
        <v>22</v>
      </c>
      <c r="N306" s="3">
        <v>63</v>
      </c>
      <c r="O306" s="3">
        <v>57</v>
      </c>
      <c r="P306" s="3">
        <v>23</v>
      </c>
      <c r="Q306" s="3">
        <v>79</v>
      </c>
    </row>
    <row r="307" spans="1:17" ht="9">
      <c r="A307" s="4" t="s">
        <v>28</v>
      </c>
      <c r="C307" s="3">
        <v>474</v>
      </c>
      <c r="D307" s="3">
        <v>23941</v>
      </c>
      <c r="E307" s="3">
        <v>1101</v>
      </c>
      <c r="F307" s="3">
        <v>615</v>
      </c>
      <c r="G307" s="3">
        <v>251</v>
      </c>
      <c r="H307" s="3">
        <v>24</v>
      </c>
      <c r="I307" s="3">
        <v>1203</v>
      </c>
      <c r="J307" s="3">
        <v>560</v>
      </c>
      <c r="K307" s="3">
        <v>64</v>
      </c>
      <c r="L307" s="3">
        <v>14</v>
      </c>
      <c r="M307" s="3">
        <v>22</v>
      </c>
      <c r="N307" s="3">
        <v>63</v>
      </c>
      <c r="O307" s="3">
        <v>57</v>
      </c>
      <c r="P307" s="3">
        <v>23</v>
      </c>
      <c r="Q307" s="3">
        <v>79</v>
      </c>
    </row>
    <row r="308" spans="2:17" s="6" customFormat="1" ht="9">
      <c r="B308" s="10" t="s">
        <v>160</v>
      </c>
      <c r="C308" s="7">
        <f>C307/26131</f>
        <v>0.018139374689066626</v>
      </c>
      <c r="D308" s="7">
        <f>D307/26131</f>
        <v>0.9161914966897554</v>
      </c>
      <c r="E308" s="7">
        <f>E307/26131</f>
        <v>0.042133863992958556</v>
      </c>
      <c r="F308" s="7">
        <f>F307/26131</f>
        <v>0.023535264628219355</v>
      </c>
      <c r="G308" s="7">
        <f aca="true" t="shared" si="47" ref="G308:M308">G307/2138</f>
        <v>0.11739943872778298</v>
      </c>
      <c r="H308" s="7">
        <f t="shared" si="47"/>
        <v>0.011225444340505144</v>
      </c>
      <c r="I308" s="7">
        <f t="shared" si="47"/>
        <v>0.5626753975678204</v>
      </c>
      <c r="J308" s="7">
        <f t="shared" si="47"/>
        <v>0.26192703461178674</v>
      </c>
      <c r="K308" s="7">
        <f t="shared" si="47"/>
        <v>0.029934518241347054</v>
      </c>
      <c r="L308" s="7">
        <f t="shared" si="47"/>
        <v>0.006548175865294668</v>
      </c>
      <c r="M308" s="7">
        <f t="shared" si="47"/>
        <v>0.01028999064546305</v>
      </c>
      <c r="N308" s="7">
        <f>N307/63</f>
        <v>1</v>
      </c>
      <c r="O308" s="7">
        <f>O307/57</f>
        <v>1</v>
      </c>
      <c r="P308" s="7">
        <f>P307/23</f>
        <v>1</v>
      </c>
      <c r="Q308" s="7">
        <f>Q307/79</f>
        <v>1</v>
      </c>
    </row>
    <row r="309" spans="2:17" ht="4.5" customHeight="1">
      <c r="B309" s="11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</row>
    <row r="310" spans="1:17" ht="9">
      <c r="A310" s="5" t="s">
        <v>124</v>
      </c>
      <c r="B310" s="11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</row>
    <row r="311" spans="2:17" ht="9">
      <c r="B311" s="9" t="s">
        <v>110</v>
      </c>
      <c r="C311" s="3">
        <v>1130</v>
      </c>
      <c r="D311" s="3">
        <v>13334</v>
      </c>
      <c r="E311" s="3">
        <v>1563</v>
      </c>
      <c r="F311" s="3">
        <v>577</v>
      </c>
      <c r="G311" s="3">
        <v>1200</v>
      </c>
      <c r="H311" s="3">
        <v>61</v>
      </c>
      <c r="I311" s="3">
        <v>5970</v>
      </c>
      <c r="J311" s="3">
        <v>5227</v>
      </c>
      <c r="K311" s="3">
        <v>110</v>
      </c>
      <c r="L311" s="3">
        <v>73</v>
      </c>
      <c r="M311" s="3">
        <v>73</v>
      </c>
      <c r="N311" s="3">
        <v>134</v>
      </c>
      <c r="O311" s="3">
        <v>79</v>
      </c>
      <c r="P311" s="3">
        <v>49</v>
      </c>
      <c r="Q311" s="3">
        <v>79</v>
      </c>
    </row>
    <row r="312" spans="1:17" ht="9">
      <c r="A312" s="4" t="s">
        <v>28</v>
      </c>
      <c r="C312" s="3">
        <v>1130</v>
      </c>
      <c r="D312" s="3">
        <v>13334</v>
      </c>
      <c r="E312" s="3">
        <v>1563</v>
      </c>
      <c r="F312" s="3">
        <v>577</v>
      </c>
      <c r="G312" s="3">
        <v>1200</v>
      </c>
      <c r="H312" s="3">
        <v>61</v>
      </c>
      <c r="I312" s="3">
        <v>5970</v>
      </c>
      <c r="J312" s="3">
        <v>5227</v>
      </c>
      <c r="K312" s="3">
        <v>110</v>
      </c>
      <c r="L312" s="3">
        <v>73</v>
      </c>
      <c r="M312" s="3">
        <v>73</v>
      </c>
      <c r="N312" s="3">
        <v>134</v>
      </c>
      <c r="O312" s="3">
        <v>79</v>
      </c>
      <c r="P312" s="3">
        <v>49</v>
      </c>
      <c r="Q312" s="3">
        <v>79</v>
      </c>
    </row>
    <row r="313" spans="2:17" s="6" customFormat="1" ht="9">
      <c r="B313" s="10" t="s">
        <v>160</v>
      </c>
      <c r="C313" s="7">
        <f>C312/16604</f>
        <v>0.06805589014695254</v>
      </c>
      <c r="D313" s="7">
        <f>D312/16604</f>
        <v>0.80305950373404</v>
      </c>
      <c r="E313" s="7">
        <f>E312/16604</f>
        <v>0.09413394362804144</v>
      </c>
      <c r="F313" s="7">
        <f>F312/16604</f>
        <v>0.03475066249096603</v>
      </c>
      <c r="G313" s="7">
        <f aca="true" t="shared" si="48" ref="G313:M313">G312/12714</f>
        <v>0.09438414346389806</v>
      </c>
      <c r="H313" s="7">
        <f t="shared" si="48"/>
        <v>0.0047978606260814845</v>
      </c>
      <c r="I313" s="7">
        <f t="shared" si="48"/>
        <v>0.4695611137328929</v>
      </c>
      <c r="J313" s="7">
        <f t="shared" si="48"/>
        <v>0.41112159823816263</v>
      </c>
      <c r="K313" s="7">
        <f t="shared" si="48"/>
        <v>0.008651879817523989</v>
      </c>
      <c r="L313" s="7">
        <f t="shared" si="48"/>
        <v>0.0057417020607204656</v>
      </c>
      <c r="M313" s="7">
        <f t="shared" si="48"/>
        <v>0.0057417020607204656</v>
      </c>
      <c r="N313" s="7">
        <f>N312/134</f>
        <v>1</v>
      </c>
      <c r="O313" s="7">
        <f>O312/79</f>
        <v>1</v>
      </c>
      <c r="P313" s="7">
        <v>1</v>
      </c>
      <c r="Q313" s="7">
        <f>Q312/79</f>
        <v>1</v>
      </c>
    </row>
    <row r="314" spans="2:17" ht="4.5" customHeight="1">
      <c r="B314" s="11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</row>
    <row r="315" spans="1:17" ht="9">
      <c r="A315" s="5" t="s">
        <v>125</v>
      </c>
      <c r="B315" s="11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</row>
    <row r="316" spans="2:17" ht="9">
      <c r="B316" s="9" t="s">
        <v>110</v>
      </c>
      <c r="C316" s="3">
        <v>852</v>
      </c>
      <c r="D316" s="3">
        <v>12535</v>
      </c>
      <c r="E316" s="3">
        <v>1353</v>
      </c>
      <c r="F316" s="3">
        <v>572</v>
      </c>
      <c r="G316" s="3">
        <v>590</v>
      </c>
      <c r="H316" s="3">
        <v>63</v>
      </c>
      <c r="I316" s="3">
        <v>2490</v>
      </c>
      <c r="J316" s="3">
        <v>2573</v>
      </c>
      <c r="K316" s="3">
        <v>78</v>
      </c>
      <c r="L316" s="3">
        <v>17</v>
      </c>
      <c r="M316" s="3">
        <v>38</v>
      </c>
      <c r="N316" s="3">
        <v>147</v>
      </c>
      <c r="O316" s="3">
        <v>30</v>
      </c>
      <c r="P316" s="3">
        <v>35</v>
      </c>
      <c r="Q316" s="3">
        <v>68</v>
      </c>
    </row>
    <row r="317" spans="1:17" ht="9">
      <c r="A317" s="4" t="s">
        <v>28</v>
      </c>
      <c r="C317" s="3">
        <v>852</v>
      </c>
      <c r="D317" s="3">
        <v>12535</v>
      </c>
      <c r="E317" s="3">
        <v>1353</v>
      </c>
      <c r="F317" s="3">
        <v>572</v>
      </c>
      <c r="G317" s="3">
        <v>590</v>
      </c>
      <c r="H317" s="3">
        <v>63</v>
      </c>
      <c r="I317" s="3">
        <v>2490</v>
      </c>
      <c r="J317" s="3">
        <v>2573</v>
      </c>
      <c r="K317" s="3">
        <v>78</v>
      </c>
      <c r="L317" s="3">
        <v>17</v>
      </c>
      <c r="M317" s="3">
        <v>38</v>
      </c>
      <c r="N317" s="3">
        <v>147</v>
      </c>
      <c r="O317" s="3">
        <v>30</v>
      </c>
      <c r="P317" s="3">
        <v>35</v>
      </c>
      <c r="Q317" s="3">
        <v>68</v>
      </c>
    </row>
    <row r="318" spans="2:17" s="6" customFormat="1" ht="9">
      <c r="B318" s="10" t="s">
        <v>160</v>
      </c>
      <c r="C318" s="7">
        <f>C317/15312</f>
        <v>0.055642633228840124</v>
      </c>
      <c r="D318" s="7">
        <f>D317/15312</f>
        <v>0.8186389759665622</v>
      </c>
      <c r="E318" s="7">
        <f>E317/15312</f>
        <v>0.08836206896551724</v>
      </c>
      <c r="F318" s="7">
        <f>F317/15312</f>
        <v>0.03735632183908046</v>
      </c>
      <c r="G318" s="7">
        <f aca="true" t="shared" si="49" ref="G318:M318">G317/5849</f>
        <v>0.10087194392203795</v>
      </c>
      <c r="H318" s="7">
        <f t="shared" si="49"/>
        <v>0.010771071978115917</v>
      </c>
      <c r="I318" s="7">
        <f t="shared" si="49"/>
        <v>0.4257137972302958</v>
      </c>
      <c r="J318" s="7">
        <f t="shared" si="49"/>
        <v>0.4399042571379723</v>
      </c>
      <c r="K318" s="7">
        <f t="shared" si="49"/>
        <v>0.013335612925286374</v>
      </c>
      <c r="L318" s="7">
        <f t="shared" si="49"/>
        <v>0.0029064797401265174</v>
      </c>
      <c r="M318" s="7">
        <f t="shared" si="49"/>
        <v>0.006496837066165157</v>
      </c>
      <c r="N318" s="7">
        <f>N317/147</f>
        <v>1</v>
      </c>
      <c r="O318" s="7">
        <f>O317/30</f>
        <v>1</v>
      </c>
      <c r="P318" s="7">
        <v>1</v>
      </c>
      <c r="Q318" s="7">
        <f>Q317/68</f>
        <v>1</v>
      </c>
    </row>
    <row r="319" spans="2:17" ht="4.5" customHeight="1">
      <c r="B319" s="11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</row>
    <row r="320" spans="1:17" ht="9">
      <c r="A320" s="5" t="s">
        <v>126</v>
      </c>
      <c r="B320" s="11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</row>
    <row r="321" spans="2:17" ht="9">
      <c r="B321" s="9" t="s">
        <v>110</v>
      </c>
      <c r="C321" s="3">
        <v>1305</v>
      </c>
      <c r="D321" s="3">
        <v>20300</v>
      </c>
      <c r="E321" s="3">
        <v>1234</v>
      </c>
      <c r="F321" s="3">
        <v>755</v>
      </c>
      <c r="G321" s="3">
        <v>853</v>
      </c>
      <c r="H321" s="3">
        <v>53</v>
      </c>
      <c r="I321" s="3">
        <v>4162</v>
      </c>
      <c r="J321" s="3">
        <v>3457</v>
      </c>
      <c r="K321" s="3">
        <v>53</v>
      </c>
      <c r="L321" s="3">
        <v>12</v>
      </c>
      <c r="M321" s="3">
        <v>86</v>
      </c>
      <c r="N321" s="3">
        <v>169</v>
      </c>
      <c r="O321" s="3">
        <v>71</v>
      </c>
      <c r="P321" s="3">
        <v>69</v>
      </c>
      <c r="Q321" s="3">
        <v>89</v>
      </c>
    </row>
    <row r="322" spans="1:17" ht="9">
      <c r="A322" s="4" t="s">
        <v>28</v>
      </c>
      <c r="C322" s="3">
        <v>1305</v>
      </c>
      <c r="D322" s="3">
        <v>20300</v>
      </c>
      <c r="E322" s="3">
        <v>1234</v>
      </c>
      <c r="F322" s="3">
        <v>755</v>
      </c>
      <c r="G322" s="3">
        <v>853</v>
      </c>
      <c r="H322" s="3">
        <v>53</v>
      </c>
      <c r="I322" s="3">
        <v>4162</v>
      </c>
      <c r="J322" s="3">
        <v>3457</v>
      </c>
      <c r="K322" s="3">
        <v>53</v>
      </c>
      <c r="L322" s="3">
        <v>12</v>
      </c>
      <c r="M322" s="3">
        <v>86</v>
      </c>
      <c r="N322" s="3">
        <v>169</v>
      </c>
      <c r="O322" s="3">
        <v>71</v>
      </c>
      <c r="P322" s="3">
        <v>69</v>
      </c>
      <c r="Q322" s="3">
        <v>89</v>
      </c>
    </row>
    <row r="323" spans="2:17" s="6" customFormat="1" ht="9">
      <c r="B323" s="10" t="s">
        <v>160</v>
      </c>
      <c r="C323" s="7">
        <f>C322/23594</f>
        <v>0.05531067220479783</v>
      </c>
      <c r="D323" s="7">
        <f>D322/23594</f>
        <v>0.8603882342968552</v>
      </c>
      <c r="E323" s="7">
        <f>E322/23594</f>
        <v>0.05230143256760193</v>
      </c>
      <c r="F323" s="7">
        <f>F322/23594</f>
        <v>0.031999660930745105</v>
      </c>
      <c r="G323" s="7">
        <f aca="true" t="shared" si="50" ref="G323:M323">G322/8676</f>
        <v>0.0983171968649147</v>
      </c>
      <c r="H323" s="7">
        <f t="shared" si="50"/>
        <v>0.006108805901337022</v>
      </c>
      <c r="I323" s="7">
        <f t="shared" si="50"/>
        <v>0.4797141539880129</v>
      </c>
      <c r="J323" s="7">
        <f t="shared" si="50"/>
        <v>0.3984555094513601</v>
      </c>
      <c r="K323" s="7">
        <f t="shared" si="50"/>
        <v>0.006108805901337022</v>
      </c>
      <c r="L323" s="7">
        <f t="shared" si="50"/>
        <v>0.0013831258644536654</v>
      </c>
      <c r="M323" s="7">
        <f t="shared" si="50"/>
        <v>0.0099124020285846</v>
      </c>
      <c r="N323" s="7">
        <f>N322/169</f>
        <v>1</v>
      </c>
      <c r="O323" s="7">
        <f>O322/71</f>
        <v>1</v>
      </c>
      <c r="P323" s="7">
        <v>1</v>
      </c>
      <c r="Q323" s="7">
        <f>Q322/89</f>
        <v>1</v>
      </c>
    </row>
    <row r="324" spans="2:17" ht="4.5" customHeight="1">
      <c r="B324" s="11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</row>
    <row r="325" spans="1:17" ht="9">
      <c r="A325" s="5" t="s">
        <v>127</v>
      </c>
      <c r="B325" s="11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</row>
    <row r="326" spans="2:17" ht="9">
      <c r="B326" s="9" t="s">
        <v>110</v>
      </c>
      <c r="C326" s="3">
        <v>540</v>
      </c>
      <c r="D326" s="3">
        <v>18479</v>
      </c>
      <c r="E326" s="3">
        <v>1362</v>
      </c>
      <c r="F326" s="3">
        <v>503</v>
      </c>
      <c r="G326" s="3">
        <v>194</v>
      </c>
      <c r="H326" s="3">
        <v>23</v>
      </c>
      <c r="I326" s="3">
        <v>842</v>
      </c>
      <c r="J326" s="3">
        <v>661</v>
      </c>
      <c r="K326" s="3">
        <v>27</v>
      </c>
      <c r="L326" s="3">
        <v>14</v>
      </c>
      <c r="M326" s="3">
        <v>23</v>
      </c>
      <c r="N326" s="3">
        <v>88</v>
      </c>
      <c r="O326" s="3">
        <v>18</v>
      </c>
      <c r="P326" s="3">
        <v>24</v>
      </c>
      <c r="Q326" s="3">
        <v>79</v>
      </c>
    </row>
    <row r="327" spans="1:17" ht="9">
      <c r="A327" s="4" t="s">
        <v>28</v>
      </c>
      <c r="C327" s="3">
        <v>540</v>
      </c>
      <c r="D327" s="3">
        <v>18479</v>
      </c>
      <c r="E327" s="3">
        <v>1362</v>
      </c>
      <c r="F327" s="3">
        <v>503</v>
      </c>
      <c r="G327" s="3">
        <v>194</v>
      </c>
      <c r="H327" s="3">
        <v>23</v>
      </c>
      <c r="I327" s="3">
        <v>842</v>
      </c>
      <c r="J327" s="3">
        <v>661</v>
      </c>
      <c r="K327" s="3">
        <v>27</v>
      </c>
      <c r="L327" s="3">
        <v>14</v>
      </c>
      <c r="M327" s="3">
        <v>23</v>
      </c>
      <c r="N327" s="3">
        <v>88</v>
      </c>
      <c r="O327" s="3">
        <v>18</v>
      </c>
      <c r="P327" s="3">
        <v>24</v>
      </c>
      <c r="Q327" s="3">
        <v>79</v>
      </c>
    </row>
    <row r="328" spans="2:17" s="6" customFormat="1" ht="9">
      <c r="B328" s="10" t="s">
        <v>160</v>
      </c>
      <c r="C328" s="7">
        <f>C327/20884</f>
        <v>0.02585711549511588</v>
      </c>
      <c r="D328" s="7">
        <f>D327/20884</f>
        <v>0.8848400689523079</v>
      </c>
      <c r="E328" s="7">
        <f>E327/20884</f>
        <v>0.06521739130434782</v>
      </c>
      <c r="F328" s="7">
        <f>F327/20884</f>
        <v>0.024085424248228307</v>
      </c>
      <c r="G328" s="7">
        <f aca="true" t="shared" si="51" ref="G328:M328">G327/1784</f>
        <v>0.10874439461883408</v>
      </c>
      <c r="H328" s="7">
        <f t="shared" si="51"/>
        <v>0.01289237668161435</v>
      </c>
      <c r="I328" s="7">
        <f t="shared" si="51"/>
        <v>0.47197309417040356</v>
      </c>
      <c r="J328" s="7">
        <f t="shared" si="51"/>
        <v>0.37051569506726456</v>
      </c>
      <c r="K328" s="7">
        <f t="shared" si="51"/>
        <v>0.015134529147982063</v>
      </c>
      <c r="L328" s="7">
        <f t="shared" si="51"/>
        <v>0.007847533632286996</v>
      </c>
      <c r="M328" s="7">
        <f t="shared" si="51"/>
        <v>0.01289237668161435</v>
      </c>
      <c r="N328" s="7">
        <f>N327/88</f>
        <v>1</v>
      </c>
      <c r="O328" s="7">
        <f>O327/18</f>
        <v>1</v>
      </c>
      <c r="P328" s="7">
        <f>P327/24</f>
        <v>1</v>
      </c>
      <c r="Q328" s="7">
        <f>Q327/79</f>
        <v>1</v>
      </c>
    </row>
    <row r="329" spans="2:17" ht="4.5" customHeight="1">
      <c r="B329" s="11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</row>
    <row r="330" spans="1:17" ht="9">
      <c r="A330" s="5" t="s">
        <v>128</v>
      </c>
      <c r="B330" s="11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</row>
    <row r="331" spans="2:17" ht="9">
      <c r="B331" s="9" t="s">
        <v>110</v>
      </c>
      <c r="C331" s="3">
        <v>1630</v>
      </c>
      <c r="D331" s="3">
        <v>22351</v>
      </c>
      <c r="E331" s="3">
        <v>2543</v>
      </c>
      <c r="F331" s="3">
        <v>1475</v>
      </c>
      <c r="G331" s="3">
        <v>2495</v>
      </c>
      <c r="H331" s="3">
        <v>104</v>
      </c>
      <c r="I331" s="3">
        <v>16065</v>
      </c>
      <c r="J331" s="3">
        <v>13828</v>
      </c>
      <c r="K331" s="3">
        <v>172</v>
      </c>
      <c r="L331" s="3">
        <v>43</v>
      </c>
      <c r="M331" s="3">
        <v>139</v>
      </c>
      <c r="N331" s="3">
        <v>329</v>
      </c>
      <c r="O331" s="3">
        <v>415</v>
      </c>
      <c r="P331" s="3">
        <v>336</v>
      </c>
      <c r="Q331" s="3">
        <v>131</v>
      </c>
    </row>
    <row r="332" spans="1:17" ht="9">
      <c r="A332" s="4" t="s">
        <v>28</v>
      </c>
      <c r="C332" s="3">
        <v>1630</v>
      </c>
      <c r="D332" s="3">
        <v>22351</v>
      </c>
      <c r="E332" s="3">
        <v>2543</v>
      </c>
      <c r="F332" s="3">
        <v>1475</v>
      </c>
      <c r="G332" s="3">
        <v>2495</v>
      </c>
      <c r="H332" s="3">
        <v>104</v>
      </c>
      <c r="I332" s="3">
        <v>16065</v>
      </c>
      <c r="J332" s="3">
        <v>13828</v>
      </c>
      <c r="K332" s="3">
        <v>172</v>
      </c>
      <c r="L332" s="3">
        <v>43</v>
      </c>
      <c r="M332" s="3">
        <v>139</v>
      </c>
      <c r="N332" s="3">
        <v>329</v>
      </c>
      <c r="O332" s="3">
        <v>415</v>
      </c>
      <c r="P332" s="3">
        <v>336</v>
      </c>
      <c r="Q332" s="3">
        <v>131</v>
      </c>
    </row>
    <row r="333" spans="2:17" s="6" customFormat="1" ht="9">
      <c r="B333" s="10" t="s">
        <v>160</v>
      </c>
      <c r="C333" s="7">
        <f>C332/27999</f>
        <v>0.05821636487017393</v>
      </c>
      <c r="D333" s="7">
        <f>D332/27999</f>
        <v>0.7982785099467838</v>
      </c>
      <c r="E333" s="7">
        <f>E332/27999</f>
        <v>0.09082467230972535</v>
      </c>
      <c r="F333" s="7">
        <f>F332/27999</f>
        <v>0.05268045287331691</v>
      </c>
      <c r="G333" s="7">
        <f aca="true" t="shared" si="52" ref="G333:M333">G332/32846</f>
        <v>0.07596054314071729</v>
      </c>
      <c r="H333" s="7">
        <f t="shared" si="52"/>
        <v>0.003166291177007855</v>
      </c>
      <c r="I333" s="7">
        <f t="shared" si="52"/>
        <v>0.4891006515252999</v>
      </c>
      <c r="J333" s="7">
        <f t="shared" si="52"/>
        <v>0.42099494611215976</v>
      </c>
      <c r="K333" s="7">
        <f t="shared" si="52"/>
        <v>0.005236558485051453</v>
      </c>
      <c r="L333" s="7">
        <f t="shared" si="52"/>
        <v>0.0013091396212628632</v>
      </c>
      <c r="M333" s="7">
        <f t="shared" si="52"/>
        <v>0.004231869938500883</v>
      </c>
      <c r="N333" s="7">
        <f>N332/329</f>
        <v>1</v>
      </c>
      <c r="O333" s="7">
        <f>O332/415</f>
        <v>1</v>
      </c>
      <c r="P333" s="7">
        <f>P332/336</f>
        <v>1</v>
      </c>
      <c r="Q333" s="7">
        <f>Q332/131</f>
        <v>1</v>
      </c>
    </row>
    <row r="334" spans="2:17" ht="4.5" customHeight="1">
      <c r="B334" s="11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</row>
    <row r="335" spans="1:17" ht="9">
      <c r="A335" s="5" t="s">
        <v>129</v>
      </c>
      <c r="B335" s="11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</row>
    <row r="336" spans="2:17" ht="9">
      <c r="B336" s="9" t="s">
        <v>110</v>
      </c>
      <c r="C336" s="3">
        <v>1502</v>
      </c>
      <c r="D336" s="3">
        <v>19499</v>
      </c>
      <c r="E336" s="3">
        <v>2173</v>
      </c>
      <c r="F336" s="3">
        <v>1580</v>
      </c>
      <c r="G336" s="3">
        <v>2902</v>
      </c>
      <c r="H336" s="3">
        <v>79</v>
      </c>
      <c r="I336" s="3">
        <v>15722</v>
      </c>
      <c r="J336" s="3">
        <v>12773</v>
      </c>
      <c r="K336" s="3">
        <v>166</v>
      </c>
      <c r="L336" s="3">
        <v>51</v>
      </c>
      <c r="M336" s="3">
        <v>118</v>
      </c>
      <c r="N336" s="3">
        <v>289</v>
      </c>
      <c r="O336" s="3">
        <v>308</v>
      </c>
      <c r="P336" s="3">
        <v>273</v>
      </c>
      <c r="Q336" s="3">
        <v>93</v>
      </c>
    </row>
    <row r="337" spans="1:17" ht="9">
      <c r="A337" s="4" t="s">
        <v>28</v>
      </c>
      <c r="C337" s="3">
        <v>1502</v>
      </c>
      <c r="D337" s="3">
        <v>19499</v>
      </c>
      <c r="E337" s="3">
        <v>2173</v>
      </c>
      <c r="F337" s="3">
        <v>1580</v>
      </c>
      <c r="G337" s="3">
        <v>2902</v>
      </c>
      <c r="H337" s="3">
        <v>79</v>
      </c>
      <c r="I337" s="3">
        <v>15722</v>
      </c>
      <c r="J337" s="3">
        <v>12773</v>
      </c>
      <c r="K337" s="3">
        <v>166</v>
      </c>
      <c r="L337" s="3">
        <v>51</v>
      </c>
      <c r="M337" s="3">
        <v>118</v>
      </c>
      <c r="N337" s="3">
        <v>289</v>
      </c>
      <c r="O337" s="3">
        <v>308</v>
      </c>
      <c r="P337" s="3">
        <v>273</v>
      </c>
      <c r="Q337" s="3">
        <v>93</v>
      </c>
    </row>
    <row r="338" spans="2:17" s="6" customFormat="1" ht="9">
      <c r="B338" s="10" t="s">
        <v>160</v>
      </c>
      <c r="C338" s="7">
        <f>C337/24754</f>
        <v>0.060677062292962755</v>
      </c>
      <c r="D338" s="7">
        <f>D337/24754</f>
        <v>0.787711076997657</v>
      </c>
      <c r="E338" s="7">
        <f>E337/24754</f>
        <v>0.08778379251838087</v>
      </c>
      <c r="F338" s="7">
        <f>F337/24754</f>
        <v>0.06382806819099944</v>
      </c>
      <c r="G338" s="7">
        <f aca="true" t="shared" si="53" ref="G338:M338">G337/31811</f>
        <v>0.09122630536606834</v>
      </c>
      <c r="H338" s="7">
        <f t="shared" si="53"/>
        <v>0.0024834176857062022</v>
      </c>
      <c r="I338" s="7">
        <f t="shared" si="53"/>
        <v>0.49423155512244193</v>
      </c>
      <c r="J338" s="7">
        <f t="shared" si="53"/>
        <v>0.4015277734117129</v>
      </c>
      <c r="K338" s="7">
        <f t="shared" si="53"/>
        <v>0.005218320706673792</v>
      </c>
      <c r="L338" s="7">
        <f t="shared" si="53"/>
        <v>0.0016032190122913458</v>
      </c>
      <c r="M338" s="7">
        <f t="shared" si="53"/>
        <v>0.0037094086951054667</v>
      </c>
      <c r="N338" s="7">
        <f>N337/289</f>
        <v>1</v>
      </c>
      <c r="O338" s="7">
        <f>O337/308</f>
        <v>1</v>
      </c>
      <c r="P338" s="7">
        <v>1</v>
      </c>
      <c r="Q338" s="7">
        <f>Q337/93</f>
        <v>1</v>
      </c>
    </row>
    <row r="339" spans="2:17" ht="4.5" customHeight="1">
      <c r="B339" s="11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</row>
    <row r="340" spans="1:17" ht="9">
      <c r="A340" s="5" t="s">
        <v>130</v>
      </c>
      <c r="B340" s="11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</row>
    <row r="341" spans="2:17" ht="9">
      <c r="B341" s="9" t="s">
        <v>110</v>
      </c>
      <c r="C341" s="3">
        <v>1530</v>
      </c>
      <c r="D341" s="3">
        <v>17867</v>
      </c>
      <c r="E341" s="3">
        <v>1557</v>
      </c>
      <c r="F341" s="3">
        <v>843</v>
      </c>
      <c r="G341" s="3">
        <v>1203</v>
      </c>
      <c r="H341" s="3">
        <v>89</v>
      </c>
      <c r="I341" s="3">
        <v>5426</v>
      </c>
      <c r="J341" s="3">
        <v>5674</v>
      </c>
      <c r="K341" s="3">
        <v>160</v>
      </c>
      <c r="L341" s="3">
        <v>53</v>
      </c>
      <c r="M341" s="3">
        <v>80</v>
      </c>
      <c r="N341" s="3">
        <v>228</v>
      </c>
      <c r="O341" s="3">
        <v>70</v>
      </c>
      <c r="P341" s="3">
        <v>115</v>
      </c>
      <c r="Q341" s="3">
        <v>115</v>
      </c>
    </row>
    <row r="342" spans="1:17" ht="9">
      <c r="A342" s="4" t="s">
        <v>28</v>
      </c>
      <c r="C342" s="3">
        <v>1530</v>
      </c>
      <c r="D342" s="3">
        <v>17867</v>
      </c>
      <c r="E342" s="3">
        <v>1557</v>
      </c>
      <c r="F342" s="3">
        <v>843</v>
      </c>
      <c r="G342" s="3">
        <v>1203</v>
      </c>
      <c r="H342" s="3">
        <v>89</v>
      </c>
      <c r="I342" s="3">
        <v>5426</v>
      </c>
      <c r="J342" s="3">
        <v>5674</v>
      </c>
      <c r="K342" s="3">
        <v>160</v>
      </c>
      <c r="L342" s="3">
        <v>53</v>
      </c>
      <c r="M342" s="3">
        <v>80</v>
      </c>
      <c r="N342" s="3">
        <v>228</v>
      </c>
      <c r="O342" s="3">
        <v>70</v>
      </c>
      <c r="P342" s="3">
        <v>115</v>
      </c>
      <c r="Q342" s="3">
        <v>115</v>
      </c>
    </row>
    <row r="343" spans="2:17" s="6" customFormat="1" ht="9">
      <c r="B343" s="10" t="s">
        <v>160</v>
      </c>
      <c r="C343" s="7">
        <f>C342/21797</f>
        <v>0.07019314584575859</v>
      </c>
      <c r="D343" s="7">
        <f>D342/21797</f>
        <v>0.8196999587099142</v>
      </c>
      <c r="E343" s="7">
        <f>E342/21797</f>
        <v>0.07143184841950727</v>
      </c>
      <c r="F343" s="7">
        <f>F342/21797</f>
        <v>0.03867504702481993</v>
      </c>
      <c r="G343" s="7">
        <f aca="true" t="shared" si="54" ref="G343:M343">G342/12685</f>
        <v>0.0948364209696492</v>
      </c>
      <c r="H343" s="7">
        <f t="shared" si="54"/>
        <v>0.007016160819865984</v>
      </c>
      <c r="I343" s="7">
        <f t="shared" si="54"/>
        <v>0.42774931020890816</v>
      </c>
      <c r="J343" s="7">
        <f t="shared" si="54"/>
        <v>0.4472999605833662</v>
      </c>
      <c r="K343" s="7">
        <f t="shared" si="54"/>
        <v>0.012613322822230981</v>
      </c>
      <c r="L343" s="7">
        <f t="shared" si="54"/>
        <v>0.0041781631848640125</v>
      </c>
      <c r="M343" s="7">
        <f t="shared" si="54"/>
        <v>0.0063066614111154905</v>
      </c>
      <c r="N343" s="7">
        <f>N342/228</f>
        <v>1</v>
      </c>
      <c r="O343" s="7">
        <f>O342/70</f>
        <v>1</v>
      </c>
      <c r="P343" s="7">
        <f>P342/115</f>
        <v>1</v>
      </c>
      <c r="Q343" s="7">
        <f>Q342/115</f>
        <v>1</v>
      </c>
    </row>
    <row r="344" spans="2:17" ht="4.5" customHeight="1">
      <c r="B344" s="11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</row>
    <row r="345" spans="1:17" ht="9">
      <c r="A345" s="5" t="s">
        <v>132</v>
      </c>
      <c r="B345" s="11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</row>
    <row r="346" spans="2:17" ht="9">
      <c r="B346" s="9" t="s">
        <v>110</v>
      </c>
      <c r="C346" s="3">
        <v>1120</v>
      </c>
      <c r="D346" s="3">
        <v>14609</v>
      </c>
      <c r="E346" s="3">
        <v>1943</v>
      </c>
      <c r="F346" s="3">
        <v>721</v>
      </c>
      <c r="G346" s="3">
        <v>1204</v>
      </c>
      <c r="H346" s="3">
        <v>51</v>
      </c>
      <c r="I346" s="3">
        <v>4454</v>
      </c>
      <c r="J346" s="3">
        <v>4888</v>
      </c>
      <c r="K346" s="3">
        <v>128</v>
      </c>
      <c r="L346" s="3">
        <v>84</v>
      </c>
      <c r="M346" s="3">
        <v>58</v>
      </c>
      <c r="N346" s="3">
        <v>168</v>
      </c>
      <c r="O346" s="3">
        <v>59</v>
      </c>
      <c r="P346" s="3">
        <v>74</v>
      </c>
      <c r="Q346" s="3">
        <v>73</v>
      </c>
    </row>
    <row r="347" spans="2:17" ht="9">
      <c r="B347" s="9" t="s">
        <v>131</v>
      </c>
      <c r="C347" s="3">
        <v>294</v>
      </c>
      <c r="D347" s="3">
        <v>2966</v>
      </c>
      <c r="E347" s="3">
        <v>407</v>
      </c>
      <c r="F347" s="3">
        <v>222</v>
      </c>
      <c r="G347" s="3">
        <v>456</v>
      </c>
      <c r="H347" s="3">
        <v>26</v>
      </c>
      <c r="I347" s="3">
        <v>1532</v>
      </c>
      <c r="J347" s="3">
        <v>2395</v>
      </c>
      <c r="K347" s="3">
        <v>67</v>
      </c>
      <c r="L347" s="3">
        <v>28</v>
      </c>
      <c r="M347" s="3">
        <v>26</v>
      </c>
      <c r="N347" s="3">
        <v>59</v>
      </c>
      <c r="O347" s="3">
        <v>21</v>
      </c>
      <c r="P347" s="3">
        <v>36</v>
      </c>
      <c r="Q347" s="3">
        <v>2</v>
      </c>
    </row>
    <row r="348" spans="1:17" ht="9">
      <c r="A348" s="4" t="s">
        <v>28</v>
      </c>
      <c r="C348" s="3">
        <v>1414</v>
      </c>
      <c r="D348" s="3">
        <v>17575</v>
      </c>
      <c r="E348" s="3">
        <v>2350</v>
      </c>
      <c r="F348" s="3">
        <v>943</v>
      </c>
      <c r="G348" s="3">
        <v>1660</v>
      </c>
      <c r="H348" s="3">
        <v>77</v>
      </c>
      <c r="I348" s="3">
        <v>5986</v>
      </c>
      <c r="J348" s="3">
        <v>7283</v>
      </c>
      <c r="K348" s="3">
        <v>195</v>
      </c>
      <c r="L348" s="3">
        <v>112</v>
      </c>
      <c r="M348" s="3">
        <v>84</v>
      </c>
      <c r="N348" s="3">
        <v>227</v>
      </c>
      <c r="O348" s="3">
        <v>80</v>
      </c>
      <c r="P348" s="3">
        <v>110</v>
      </c>
      <c r="Q348" s="3">
        <v>75</v>
      </c>
    </row>
    <row r="349" spans="2:17" s="6" customFormat="1" ht="9">
      <c r="B349" s="10" t="s">
        <v>160</v>
      </c>
      <c r="C349" s="7">
        <f>C348/22282</f>
        <v>0.06345929449780091</v>
      </c>
      <c r="D349" s="7">
        <f>D348/22282</f>
        <v>0.7887532537474194</v>
      </c>
      <c r="E349" s="7">
        <f>E348/22282</f>
        <v>0.10546629566466206</v>
      </c>
      <c r="F349" s="7">
        <f>F348/22282</f>
        <v>0.042321156090117586</v>
      </c>
      <c r="G349" s="7">
        <f aca="true" t="shared" si="55" ref="G349:M349">G348/15397</f>
        <v>0.10781321036565565</v>
      </c>
      <c r="H349" s="7">
        <f t="shared" si="55"/>
        <v>0.0050009742157563165</v>
      </c>
      <c r="I349" s="7">
        <f t="shared" si="55"/>
        <v>0.38877703448723777</v>
      </c>
      <c r="J349" s="7">
        <f t="shared" si="55"/>
        <v>0.4730142235500422</v>
      </c>
      <c r="K349" s="7">
        <f t="shared" si="55"/>
        <v>0.012664804832110152</v>
      </c>
      <c r="L349" s="7">
        <f t="shared" si="55"/>
        <v>0.007274144313827369</v>
      </c>
      <c r="M349" s="7">
        <f t="shared" si="55"/>
        <v>0.005455608235370527</v>
      </c>
      <c r="N349" s="7">
        <f>N348/227</f>
        <v>1</v>
      </c>
      <c r="O349" s="7">
        <f>O348/80</f>
        <v>1</v>
      </c>
      <c r="P349" s="7">
        <v>1</v>
      </c>
      <c r="Q349" s="7">
        <f>Q348/75</f>
        <v>1</v>
      </c>
    </row>
    <row r="350" spans="2:17" ht="4.5" customHeight="1">
      <c r="B350" s="11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</row>
    <row r="351" spans="1:17" ht="9">
      <c r="A351" s="5" t="s">
        <v>133</v>
      </c>
      <c r="B351" s="11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</row>
    <row r="352" spans="2:17" ht="9">
      <c r="B352" s="9" t="s">
        <v>110</v>
      </c>
      <c r="C352" s="3">
        <v>1180</v>
      </c>
      <c r="D352" s="3">
        <v>14178</v>
      </c>
      <c r="E352" s="3">
        <v>2056</v>
      </c>
      <c r="F352" s="3">
        <v>690</v>
      </c>
      <c r="G352" s="3">
        <v>1301</v>
      </c>
      <c r="H352" s="3">
        <v>122</v>
      </c>
      <c r="I352" s="3">
        <v>5727</v>
      </c>
      <c r="J352" s="3">
        <v>5790</v>
      </c>
      <c r="K352" s="3">
        <v>118</v>
      </c>
      <c r="L352" s="3">
        <v>51</v>
      </c>
      <c r="M352" s="3">
        <v>101</v>
      </c>
      <c r="N352" s="3">
        <v>202</v>
      </c>
      <c r="O352" s="3">
        <v>66</v>
      </c>
      <c r="P352" s="3">
        <v>78</v>
      </c>
      <c r="Q352" s="3">
        <v>94</v>
      </c>
    </row>
    <row r="353" spans="1:17" ht="9">
      <c r="A353" s="4" t="s">
        <v>28</v>
      </c>
      <c r="C353" s="3">
        <v>1180</v>
      </c>
      <c r="D353" s="3">
        <v>14178</v>
      </c>
      <c r="E353" s="3">
        <v>2056</v>
      </c>
      <c r="F353" s="3">
        <v>690</v>
      </c>
      <c r="G353" s="3">
        <v>1301</v>
      </c>
      <c r="H353" s="3">
        <v>122</v>
      </c>
      <c r="I353" s="3">
        <v>5727</v>
      </c>
      <c r="J353" s="3">
        <v>5790</v>
      </c>
      <c r="K353" s="3">
        <v>118</v>
      </c>
      <c r="L353" s="3">
        <v>51</v>
      </c>
      <c r="M353" s="3">
        <v>101</v>
      </c>
      <c r="N353" s="3">
        <v>202</v>
      </c>
      <c r="O353" s="3">
        <v>66</v>
      </c>
      <c r="P353" s="3">
        <v>78</v>
      </c>
      <c r="Q353" s="3">
        <v>94</v>
      </c>
    </row>
    <row r="354" spans="2:17" s="6" customFormat="1" ht="9">
      <c r="B354" s="10" t="s">
        <v>160</v>
      </c>
      <c r="C354" s="7">
        <f>C353/18104</f>
        <v>0.0651789659743703</v>
      </c>
      <c r="D354" s="7">
        <f>D353/18104</f>
        <v>0.783141847105612</v>
      </c>
      <c r="E354" s="7">
        <f>E353/18104</f>
        <v>0.11356606274856386</v>
      </c>
      <c r="F354" s="7">
        <f>F353/18104</f>
        <v>0.03811312417145382</v>
      </c>
      <c r="G354" s="7">
        <f aca="true" t="shared" si="56" ref="G354:M354">G353/13210</f>
        <v>0.09848599545798638</v>
      </c>
      <c r="H354" s="7">
        <f t="shared" si="56"/>
        <v>0.00923542770628312</v>
      </c>
      <c r="I354" s="7">
        <f t="shared" si="56"/>
        <v>0.4335352006056018</v>
      </c>
      <c r="J354" s="7">
        <f t="shared" si="56"/>
        <v>0.43830431491294475</v>
      </c>
      <c r="K354" s="7">
        <f t="shared" si="56"/>
        <v>0.008932626797880395</v>
      </c>
      <c r="L354" s="7">
        <f t="shared" si="56"/>
        <v>0.0038607115821347464</v>
      </c>
      <c r="M354" s="7">
        <f t="shared" si="56"/>
        <v>0.007645722937168812</v>
      </c>
      <c r="N354" s="7">
        <f>N353/202</f>
        <v>1</v>
      </c>
      <c r="O354" s="7">
        <f>O353/66</f>
        <v>1</v>
      </c>
      <c r="P354" s="7">
        <v>1</v>
      </c>
      <c r="Q354" s="7">
        <f>Q353/94</f>
        <v>1</v>
      </c>
    </row>
    <row r="355" spans="2:17" ht="4.5" customHeight="1">
      <c r="B355" s="11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</row>
    <row r="356" spans="1:17" ht="9">
      <c r="A356" s="5" t="s">
        <v>134</v>
      </c>
      <c r="B356" s="11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</row>
    <row r="357" spans="2:17" ht="9">
      <c r="B357" s="9" t="s">
        <v>110</v>
      </c>
      <c r="C357" s="3">
        <v>2490</v>
      </c>
      <c r="D357" s="3">
        <v>20712</v>
      </c>
      <c r="E357" s="3">
        <v>2444</v>
      </c>
      <c r="F357" s="3">
        <v>902</v>
      </c>
      <c r="G357" s="3">
        <v>1616</v>
      </c>
      <c r="H357" s="3">
        <v>103</v>
      </c>
      <c r="I357" s="3">
        <v>7110</v>
      </c>
      <c r="J357" s="3">
        <v>7005</v>
      </c>
      <c r="K357" s="3">
        <v>129</v>
      </c>
      <c r="L357" s="3">
        <v>29</v>
      </c>
      <c r="M357" s="3">
        <v>137</v>
      </c>
      <c r="N357" s="3">
        <v>208</v>
      </c>
      <c r="O357" s="3">
        <v>60</v>
      </c>
      <c r="P357" s="3">
        <v>63</v>
      </c>
      <c r="Q357" s="3">
        <v>95</v>
      </c>
    </row>
    <row r="358" spans="1:17" ht="9">
      <c r="A358" s="4" t="s">
        <v>28</v>
      </c>
      <c r="C358" s="3">
        <v>2490</v>
      </c>
      <c r="D358" s="3">
        <v>20712</v>
      </c>
      <c r="E358" s="3">
        <v>2444</v>
      </c>
      <c r="F358" s="3">
        <v>902</v>
      </c>
      <c r="G358" s="3">
        <v>1616</v>
      </c>
      <c r="H358" s="3">
        <v>103</v>
      </c>
      <c r="I358" s="3">
        <v>7110</v>
      </c>
      <c r="J358" s="3">
        <v>7005</v>
      </c>
      <c r="K358" s="3">
        <v>129</v>
      </c>
      <c r="L358" s="3">
        <v>29</v>
      </c>
      <c r="M358" s="3">
        <v>137</v>
      </c>
      <c r="N358" s="3">
        <v>208</v>
      </c>
      <c r="O358" s="3">
        <v>60</v>
      </c>
      <c r="P358" s="3">
        <v>63</v>
      </c>
      <c r="Q358" s="3">
        <v>95</v>
      </c>
    </row>
    <row r="359" spans="2:17" s="6" customFormat="1" ht="9">
      <c r="B359" s="10" t="s">
        <v>160</v>
      </c>
      <c r="C359" s="7">
        <f>C358/26548</f>
        <v>0.0937923760735272</v>
      </c>
      <c r="D359" s="7">
        <f>D358/26548</f>
        <v>0.7801717643513636</v>
      </c>
      <c r="E359" s="7">
        <f>E358/26548</f>
        <v>0.09205966551152629</v>
      </c>
      <c r="F359" s="7">
        <f>F358/26548</f>
        <v>0.033976194063582946</v>
      </c>
      <c r="G359" s="7">
        <f aca="true" t="shared" si="57" ref="G359:M359">G358/16129</f>
        <v>0.10019220038440077</v>
      </c>
      <c r="H359" s="7">
        <f t="shared" si="57"/>
        <v>0.006386012772025544</v>
      </c>
      <c r="I359" s="7">
        <f t="shared" si="57"/>
        <v>0.4408208816417633</v>
      </c>
      <c r="J359" s="7">
        <f t="shared" si="57"/>
        <v>0.43431086862173723</v>
      </c>
      <c r="K359" s="7">
        <f t="shared" si="57"/>
        <v>0.007998015996031992</v>
      </c>
      <c r="L359" s="7">
        <f t="shared" si="57"/>
        <v>0.001798003596007192</v>
      </c>
      <c r="M359" s="7">
        <f t="shared" si="57"/>
        <v>0.008494016988033976</v>
      </c>
      <c r="N359" s="7">
        <f>N358/208</f>
        <v>1</v>
      </c>
      <c r="O359" s="7">
        <f>O358/60</f>
        <v>1</v>
      </c>
      <c r="P359" s="7">
        <f>P358/63</f>
        <v>1</v>
      </c>
      <c r="Q359" s="7">
        <f>Q358/95</f>
        <v>1</v>
      </c>
    </row>
    <row r="360" spans="2:17" ht="4.5" customHeight="1">
      <c r="B360" s="11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</row>
    <row r="361" spans="1:17" ht="9">
      <c r="A361" s="5" t="s">
        <v>135</v>
      </c>
      <c r="B361" s="11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</row>
    <row r="362" spans="2:17" ht="9">
      <c r="B362" s="9" t="s">
        <v>110</v>
      </c>
      <c r="C362" s="3">
        <v>1117</v>
      </c>
      <c r="D362" s="3">
        <v>10299</v>
      </c>
      <c r="E362" s="3">
        <v>1004</v>
      </c>
      <c r="F362" s="3">
        <v>664</v>
      </c>
      <c r="G362" s="3">
        <v>1881</v>
      </c>
      <c r="H362" s="3">
        <v>61</v>
      </c>
      <c r="I362" s="3">
        <v>11533</v>
      </c>
      <c r="J362" s="3">
        <v>11030</v>
      </c>
      <c r="K362" s="3">
        <v>140</v>
      </c>
      <c r="L362" s="3">
        <v>27</v>
      </c>
      <c r="M362" s="3">
        <v>103</v>
      </c>
      <c r="N362" s="3">
        <v>187</v>
      </c>
      <c r="O362" s="3">
        <v>166</v>
      </c>
      <c r="P362" s="3">
        <v>151</v>
      </c>
      <c r="Q362" s="3">
        <v>61</v>
      </c>
    </row>
    <row r="363" spans="2:17" ht="9">
      <c r="B363" s="9" t="s">
        <v>101</v>
      </c>
      <c r="C363" s="3">
        <v>1072</v>
      </c>
      <c r="D363" s="3">
        <v>6949</v>
      </c>
      <c r="E363" s="3">
        <v>730</v>
      </c>
      <c r="F363" s="3">
        <v>563</v>
      </c>
      <c r="G363" s="3">
        <v>1478</v>
      </c>
      <c r="H363" s="3">
        <v>70</v>
      </c>
      <c r="I363" s="3">
        <v>6471</v>
      </c>
      <c r="J363" s="3">
        <v>9263</v>
      </c>
      <c r="K363" s="3">
        <v>180</v>
      </c>
      <c r="L363" s="3">
        <v>26</v>
      </c>
      <c r="M363" s="3">
        <v>106</v>
      </c>
      <c r="N363" s="3">
        <v>188</v>
      </c>
      <c r="O363" s="3">
        <v>57</v>
      </c>
      <c r="P363" s="3">
        <v>125</v>
      </c>
      <c r="Q363" s="3">
        <v>11</v>
      </c>
    </row>
    <row r="364" spans="1:17" ht="9">
      <c r="A364" s="4" t="s">
        <v>28</v>
      </c>
      <c r="C364" s="3">
        <v>2189</v>
      </c>
      <c r="D364" s="3">
        <v>17248</v>
      </c>
      <c r="E364" s="3">
        <v>1734</v>
      </c>
      <c r="F364" s="3">
        <v>1227</v>
      </c>
      <c r="G364" s="3">
        <v>3359</v>
      </c>
      <c r="H364" s="3">
        <v>131</v>
      </c>
      <c r="I364" s="3">
        <v>18004</v>
      </c>
      <c r="J364" s="3">
        <v>20293</v>
      </c>
      <c r="K364" s="3">
        <v>320</v>
      </c>
      <c r="L364" s="3">
        <v>53</v>
      </c>
      <c r="M364" s="3">
        <v>209</v>
      </c>
      <c r="N364" s="3">
        <v>375</v>
      </c>
      <c r="O364" s="3">
        <v>223</v>
      </c>
      <c r="P364" s="3">
        <v>276</v>
      </c>
      <c r="Q364" s="3">
        <v>72</v>
      </c>
    </row>
    <row r="365" spans="2:17" s="6" customFormat="1" ht="9">
      <c r="B365" s="10" t="s">
        <v>160</v>
      </c>
      <c r="C365" s="7">
        <f>C364/22398</f>
        <v>0.09773194035181712</v>
      </c>
      <c r="D365" s="7">
        <f>D364/22398</f>
        <v>0.770068756138941</v>
      </c>
      <c r="E365" s="7">
        <f>E364/22398</f>
        <v>0.07741762657380123</v>
      </c>
      <c r="F365" s="7">
        <f>F364/22398</f>
        <v>0.054781676935440664</v>
      </c>
      <c r="G365" s="7">
        <f aca="true" t="shared" si="58" ref="G365:M365">G364/42369</f>
        <v>0.07927966201704076</v>
      </c>
      <c r="H365" s="7">
        <f t="shared" si="58"/>
        <v>0.0030918832165026315</v>
      </c>
      <c r="I365" s="7">
        <f t="shared" si="58"/>
        <v>0.4249333238924686</v>
      </c>
      <c r="J365" s="7">
        <f t="shared" si="58"/>
        <v>0.4789586726144115</v>
      </c>
      <c r="K365" s="7">
        <f t="shared" si="58"/>
        <v>0.007552691826571314</v>
      </c>
      <c r="L365" s="7">
        <f t="shared" si="58"/>
        <v>0.0012509145837758739</v>
      </c>
      <c r="M365" s="7">
        <f t="shared" si="58"/>
        <v>0.004932851849229389</v>
      </c>
      <c r="N365" s="7">
        <f>N364/375</f>
        <v>1</v>
      </c>
      <c r="O365" s="7">
        <f>O364/223</f>
        <v>1</v>
      </c>
      <c r="P365" s="7">
        <f>P364/276</f>
        <v>1</v>
      </c>
      <c r="Q365" s="7">
        <f>Q364/72</f>
        <v>1</v>
      </c>
    </row>
    <row r="366" spans="2:17" ht="4.5" customHeight="1">
      <c r="B366" s="11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</row>
    <row r="367" spans="1:17" ht="9">
      <c r="A367" s="5" t="s">
        <v>136</v>
      </c>
      <c r="B367" s="11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</row>
    <row r="368" spans="2:17" ht="9">
      <c r="B368" s="9" t="s">
        <v>110</v>
      </c>
      <c r="C368" s="3">
        <v>526</v>
      </c>
      <c r="D368" s="3">
        <v>6139</v>
      </c>
      <c r="E368" s="3">
        <v>798</v>
      </c>
      <c r="F368" s="3">
        <v>424</v>
      </c>
      <c r="G368" s="3">
        <v>1195</v>
      </c>
      <c r="H368" s="3">
        <v>32</v>
      </c>
      <c r="I368" s="3">
        <v>5806</v>
      </c>
      <c r="J368" s="3">
        <v>6136</v>
      </c>
      <c r="K368" s="3">
        <v>79</v>
      </c>
      <c r="L368" s="3">
        <v>21</v>
      </c>
      <c r="M368" s="3">
        <v>41</v>
      </c>
      <c r="N368" s="3">
        <v>89</v>
      </c>
      <c r="O368" s="3">
        <v>41</v>
      </c>
      <c r="P368" s="3">
        <v>51</v>
      </c>
      <c r="Q368" s="3">
        <v>28</v>
      </c>
    </row>
    <row r="369" spans="2:17" ht="9">
      <c r="B369" s="9" t="s">
        <v>131</v>
      </c>
      <c r="C369" s="3">
        <v>579</v>
      </c>
      <c r="D369" s="3">
        <v>6162</v>
      </c>
      <c r="E369" s="3">
        <v>858</v>
      </c>
      <c r="F369" s="3">
        <v>490</v>
      </c>
      <c r="G369" s="3">
        <v>1919</v>
      </c>
      <c r="H369" s="3">
        <v>71</v>
      </c>
      <c r="I369" s="3">
        <v>8108</v>
      </c>
      <c r="J369" s="3">
        <v>11771</v>
      </c>
      <c r="K369" s="3">
        <v>122</v>
      </c>
      <c r="L369" s="3">
        <v>29</v>
      </c>
      <c r="M369" s="3">
        <v>82</v>
      </c>
      <c r="N369" s="3">
        <v>128</v>
      </c>
      <c r="O369" s="3">
        <v>70</v>
      </c>
      <c r="P369" s="3">
        <v>107</v>
      </c>
      <c r="Q369" s="3">
        <v>10</v>
      </c>
    </row>
    <row r="370" spans="2:17" ht="9">
      <c r="B370" s="9" t="s">
        <v>101</v>
      </c>
      <c r="C370" s="3">
        <v>164</v>
      </c>
      <c r="D370" s="3">
        <v>1983</v>
      </c>
      <c r="E370" s="3">
        <v>224</v>
      </c>
      <c r="F370" s="3">
        <v>118</v>
      </c>
      <c r="G370" s="3">
        <v>373</v>
      </c>
      <c r="H370" s="3">
        <v>16</v>
      </c>
      <c r="I370" s="3">
        <v>1945</v>
      </c>
      <c r="J370" s="3">
        <v>2223</v>
      </c>
      <c r="K370" s="3">
        <v>34</v>
      </c>
      <c r="L370" s="3">
        <v>10</v>
      </c>
      <c r="M370" s="3">
        <v>21</v>
      </c>
      <c r="N370" s="3">
        <v>39</v>
      </c>
      <c r="O370" s="3">
        <v>10</v>
      </c>
      <c r="P370" s="3">
        <v>26</v>
      </c>
      <c r="Q370" s="3">
        <v>6</v>
      </c>
    </row>
    <row r="371" spans="1:17" ht="9">
      <c r="A371" s="4" t="s">
        <v>28</v>
      </c>
      <c r="C371" s="3">
        <v>1269</v>
      </c>
      <c r="D371" s="3">
        <v>14284</v>
      </c>
      <c r="E371" s="3">
        <v>1880</v>
      </c>
      <c r="F371" s="3">
        <v>1032</v>
      </c>
      <c r="G371" s="3">
        <v>3487</v>
      </c>
      <c r="H371" s="3">
        <v>119</v>
      </c>
      <c r="I371" s="3">
        <v>15859</v>
      </c>
      <c r="J371" s="3">
        <v>20130</v>
      </c>
      <c r="K371" s="3">
        <v>235</v>
      </c>
      <c r="L371" s="3">
        <v>60</v>
      </c>
      <c r="M371" s="3">
        <v>144</v>
      </c>
      <c r="N371" s="3">
        <v>256</v>
      </c>
      <c r="O371" s="3">
        <v>121</v>
      </c>
      <c r="P371" s="3">
        <v>184</v>
      </c>
      <c r="Q371" s="3">
        <v>44</v>
      </c>
    </row>
    <row r="372" spans="2:17" s="6" customFormat="1" ht="9">
      <c r="B372" s="10" t="s">
        <v>160</v>
      </c>
      <c r="C372" s="7">
        <f>C371/18465</f>
        <v>0.06872461413484972</v>
      </c>
      <c r="D372" s="7">
        <f>D371/18465</f>
        <v>0.773571621987544</v>
      </c>
      <c r="E372" s="7">
        <f>E371/18465</f>
        <v>0.10181424316274032</v>
      </c>
      <c r="F372" s="7">
        <f>F371/18465</f>
        <v>0.05588952071486596</v>
      </c>
      <c r="G372" s="7">
        <f aca="true" t="shared" si="59" ref="G372:M372">G371/40034</f>
        <v>0.08710096418044662</v>
      </c>
      <c r="H372" s="7">
        <f t="shared" si="59"/>
        <v>0.00297247339761203</v>
      </c>
      <c r="I372" s="7">
        <f t="shared" si="59"/>
        <v>0.39613828245990906</v>
      </c>
      <c r="J372" s="7">
        <f t="shared" si="59"/>
        <v>0.502822600789329</v>
      </c>
      <c r="K372" s="7">
        <f t="shared" si="59"/>
        <v>0.00587001049108258</v>
      </c>
      <c r="L372" s="7">
        <f t="shared" si="59"/>
        <v>0.0014987260828295949</v>
      </c>
      <c r="M372" s="7">
        <f t="shared" si="59"/>
        <v>0.0035969425987910277</v>
      </c>
      <c r="N372" s="7">
        <f>N371/256</f>
        <v>1</v>
      </c>
      <c r="O372" s="7">
        <f>O371/121</f>
        <v>1</v>
      </c>
      <c r="P372" s="7">
        <v>1</v>
      </c>
      <c r="Q372" s="7">
        <f>Q371/44</f>
        <v>1</v>
      </c>
    </row>
    <row r="373" spans="2:17" ht="4.5" customHeight="1">
      <c r="B373" s="11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7"/>
      <c r="Q373" s="3"/>
    </row>
    <row r="374" spans="1:17" ht="9">
      <c r="A374" s="5" t="s">
        <v>137</v>
      </c>
      <c r="B374" s="11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</row>
    <row r="375" spans="2:17" ht="9">
      <c r="B375" s="9" t="s">
        <v>110</v>
      </c>
      <c r="C375" s="3">
        <v>301</v>
      </c>
      <c r="D375" s="3">
        <v>4431</v>
      </c>
      <c r="E375" s="3">
        <v>540</v>
      </c>
      <c r="F375" s="3">
        <v>204</v>
      </c>
      <c r="G375" s="3">
        <v>369</v>
      </c>
      <c r="H375" s="3">
        <v>13</v>
      </c>
      <c r="I375" s="3">
        <v>1493</v>
      </c>
      <c r="J375" s="3">
        <v>1294</v>
      </c>
      <c r="K375" s="3">
        <v>19</v>
      </c>
      <c r="L375" s="3">
        <v>9</v>
      </c>
      <c r="M375" s="3">
        <v>26</v>
      </c>
      <c r="N375" s="3">
        <v>55</v>
      </c>
      <c r="O375" s="3">
        <v>38</v>
      </c>
      <c r="P375" s="3">
        <v>24</v>
      </c>
      <c r="Q375" s="3">
        <v>21</v>
      </c>
    </row>
    <row r="376" spans="2:17" ht="9">
      <c r="B376" s="9" t="s">
        <v>101</v>
      </c>
      <c r="C376" s="3">
        <v>604</v>
      </c>
      <c r="D376" s="3">
        <v>6802</v>
      </c>
      <c r="E376" s="3">
        <v>883</v>
      </c>
      <c r="F376" s="3">
        <v>369</v>
      </c>
      <c r="G376" s="3">
        <v>1053</v>
      </c>
      <c r="H376" s="3">
        <v>67</v>
      </c>
      <c r="I376" s="3">
        <v>3610</v>
      </c>
      <c r="J376" s="3">
        <v>4815</v>
      </c>
      <c r="K376" s="3">
        <v>109</v>
      </c>
      <c r="L376" s="3">
        <v>15</v>
      </c>
      <c r="M376" s="3">
        <v>66</v>
      </c>
      <c r="N376" s="3">
        <v>115</v>
      </c>
      <c r="O376" s="3">
        <v>52</v>
      </c>
      <c r="P376" s="3">
        <v>46</v>
      </c>
      <c r="Q376" s="3">
        <v>6</v>
      </c>
    </row>
    <row r="377" spans="1:17" ht="9">
      <c r="A377" s="4" t="s">
        <v>28</v>
      </c>
      <c r="C377" s="3">
        <v>905</v>
      </c>
      <c r="D377" s="3">
        <v>11233</v>
      </c>
      <c r="E377" s="3">
        <v>1423</v>
      </c>
      <c r="F377" s="3">
        <v>573</v>
      </c>
      <c r="G377" s="3">
        <v>1422</v>
      </c>
      <c r="H377" s="3">
        <v>80</v>
      </c>
      <c r="I377" s="3">
        <v>5103</v>
      </c>
      <c r="J377" s="3">
        <v>6109</v>
      </c>
      <c r="K377" s="3">
        <v>128</v>
      </c>
      <c r="L377" s="3">
        <v>24</v>
      </c>
      <c r="M377" s="3">
        <v>92</v>
      </c>
      <c r="N377" s="3">
        <v>170</v>
      </c>
      <c r="O377" s="3">
        <v>90</v>
      </c>
      <c r="P377" s="3">
        <v>70</v>
      </c>
      <c r="Q377" s="3">
        <v>27</v>
      </c>
    </row>
    <row r="378" spans="2:17" s="6" customFormat="1" ht="9">
      <c r="B378" s="10" t="s">
        <v>160</v>
      </c>
      <c r="C378" s="7">
        <f>C377/14134</f>
        <v>0.06402999858497241</v>
      </c>
      <c r="D378" s="7">
        <f>D377/14134</f>
        <v>0.7947502476298288</v>
      </c>
      <c r="E378" s="7">
        <f>E377/14134</f>
        <v>0.10067921324465827</v>
      </c>
      <c r="F378" s="7">
        <f>F377/14134</f>
        <v>0.04054054054054054</v>
      </c>
      <c r="G378" s="7">
        <f aca="true" t="shared" si="60" ref="G378:M378">G377/12958</f>
        <v>0.10973915727735761</v>
      </c>
      <c r="H378" s="7">
        <f t="shared" si="60"/>
        <v>0.0061737922518907236</v>
      </c>
      <c r="I378" s="7">
        <f t="shared" si="60"/>
        <v>0.39381077326747954</v>
      </c>
      <c r="J378" s="7">
        <f t="shared" si="60"/>
        <v>0.4714462108350054</v>
      </c>
      <c r="K378" s="7">
        <f t="shared" si="60"/>
        <v>0.009878067603025158</v>
      </c>
      <c r="L378" s="7">
        <f t="shared" si="60"/>
        <v>0.0018521376755672172</v>
      </c>
      <c r="M378" s="7">
        <f t="shared" si="60"/>
        <v>0.007099861089674332</v>
      </c>
      <c r="N378" s="7">
        <f>N377/170</f>
        <v>1</v>
      </c>
      <c r="O378" s="7">
        <f>O377/90</f>
        <v>1</v>
      </c>
      <c r="P378" s="7">
        <v>1</v>
      </c>
      <c r="Q378" s="7">
        <f>Q377/27</f>
        <v>1</v>
      </c>
    </row>
    <row r="379" spans="2:17" ht="4.5" customHeight="1">
      <c r="B379" s="11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</row>
    <row r="380" spans="1:17" ht="9">
      <c r="A380" s="5" t="s">
        <v>138</v>
      </c>
      <c r="B380" s="11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</row>
    <row r="381" spans="2:17" ht="9">
      <c r="B381" s="9" t="s">
        <v>101</v>
      </c>
      <c r="C381" s="3">
        <v>846</v>
      </c>
      <c r="D381" s="3">
        <v>11842</v>
      </c>
      <c r="E381" s="3">
        <v>1084</v>
      </c>
      <c r="F381" s="3">
        <v>683</v>
      </c>
      <c r="G381" s="3">
        <v>892</v>
      </c>
      <c r="H381" s="3">
        <v>60</v>
      </c>
      <c r="I381" s="3">
        <v>2767</v>
      </c>
      <c r="J381" s="3">
        <v>3353</v>
      </c>
      <c r="K381" s="3">
        <v>172</v>
      </c>
      <c r="L381" s="3">
        <v>29</v>
      </c>
      <c r="M381" s="3">
        <v>73</v>
      </c>
      <c r="N381" s="3">
        <v>160</v>
      </c>
      <c r="O381" s="3">
        <v>39</v>
      </c>
      <c r="P381" s="3">
        <v>52</v>
      </c>
      <c r="Q381" s="3">
        <v>5</v>
      </c>
    </row>
    <row r="382" spans="1:17" ht="9">
      <c r="A382" s="4" t="s">
        <v>28</v>
      </c>
      <c r="C382" s="3">
        <v>846</v>
      </c>
      <c r="D382" s="3">
        <v>11842</v>
      </c>
      <c r="E382" s="3">
        <v>1084</v>
      </c>
      <c r="F382" s="3">
        <v>683</v>
      </c>
      <c r="G382" s="3">
        <v>892</v>
      </c>
      <c r="H382" s="3">
        <v>60</v>
      </c>
      <c r="I382" s="3">
        <v>2767</v>
      </c>
      <c r="J382" s="3">
        <v>3353</v>
      </c>
      <c r="K382" s="3">
        <v>172</v>
      </c>
      <c r="L382" s="3">
        <v>29</v>
      </c>
      <c r="M382" s="3">
        <v>73</v>
      </c>
      <c r="N382" s="3">
        <v>160</v>
      </c>
      <c r="O382" s="3">
        <v>39</v>
      </c>
      <c r="P382" s="3">
        <v>52</v>
      </c>
      <c r="Q382" s="3">
        <v>5</v>
      </c>
    </row>
    <row r="383" spans="2:17" s="6" customFormat="1" ht="9">
      <c r="B383" s="10" t="s">
        <v>160</v>
      </c>
      <c r="C383" s="7">
        <f>C382/14455</f>
        <v>0.05852646143203044</v>
      </c>
      <c r="D383" s="7">
        <f>D382/14455</f>
        <v>0.8192320996195088</v>
      </c>
      <c r="E383" s="7">
        <f>E382/14455</f>
        <v>0.07499135247319266</v>
      </c>
      <c r="F383" s="7">
        <f>F382/14455</f>
        <v>0.04725008647526807</v>
      </c>
      <c r="G383" s="7">
        <f aca="true" t="shared" si="61" ref="G383:M383">G382/7346</f>
        <v>0.12142662673563845</v>
      </c>
      <c r="H383" s="7">
        <f t="shared" si="61"/>
        <v>0.008167710318540702</v>
      </c>
      <c r="I383" s="7">
        <f t="shared" si="61"/>
        <v>0.3766675741900354</v>
      </c>
      <c r="J383" s="7">
        <f t="shared" si="61"/>
        <v>0.45643887830111624</v>
      </c>
      <c r="K383" s="7">
        <f t="shared" si="61"/>
        <v>0.023414102913150013</v>
      </c>
      <c r="L383" s="7">
        <f t="shared" si="61"/>
        <v>0.0039477266539613394</v>
      </c>
      <c r="M383" s="7">
        <f t="shared" si="61"/>
        <v>0.009937380887557854</v>
      </c>
      <c r="N383" s="7">
        <f>N382/160</f>
        <v>1</v>
      </c>
      <c r="O383" s="7">
        <f>O382/39</f>
        <v>1</v>
      </c>
      <c r="P383" s="7">
        <v>1</v>
      </c>
      <c r="Q383" s="7">
        <f>Q382/5</f>
        <v>1</v>
      </c>
    </row>
    <row r="384" spans="2:17" ht="4.5" customHeight="1">
      <c r="B384" s="11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</row>
    <row r="385" spans="1:17" ht="9">
      <c r="A385" s="5" t="s">
        <v>140</v>
      </c>
      <c r="B385" s="11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</row>
    <row r="386" spans="2:17" ht="9">
      <c r="B386" s="9" t="s">
        <v>139</v>
      </c>
      <c r="C386" s="3">
        <v>41</v>
      </c>
      <c r="D386" s="3">
        <v>336</v>
      </c>
      <c r="E386" s="3">
        <v>28</v>
      </c>
      <c r="F386" s="3">
        <v>14</v>
      </c>
      <c r="G386" s="3">
        <v>64</v>
      </c>
      <c r="H386" s="3">
        <v>3</v>
      </c>
      <c r="I386" s="3">
        <v>192</v>
      </c>
      <c r="J386" s="3">
        <v>227</v>
      </c>
      <c r="K386" s="3">
        <v>8</v>
      </c>
      <c r="L386" s="3">
        <v>7</v>
      </c>
      <c r="M386" s="3">
        <v>3</v>
      </c>
      <c r="N386" s="3">
        <v>6</v>
      </c>
      <c r="O386" s="3">
        <v>1</v>
      </c>
      <c r="P386" s="3">
        <v>3</v>
      </c>
      <c r="Q386" s="3">
        <v>0</v>
      </c>
    </row>
    <row r="387" spans="2:17" ht="9">
      <c r="B387" s="9" t="s">
        <v>101</v>
      </c>
      <c r="C387" s="3">
        <v>1787</v>
      </c>
      <c r="D387" s="3">
        <v>13805</v>
      </c>
      <c r="E387" s="3">
        <v>1194</v>
      </c>
      <c r="F387" s="3">
        <v>933</v>
      </c>
      <c r="G387" s="3">
        <v>2867</v>
      </c>
      <c r="H387" s="3">
        <v>133</v>
      </c>
      <c r="I387" s="3">
        <v>11952</v>
      </c>
      <c r="J387" s="3">
        <v>13596</v>
      </c>
      <c r="K387" s="3">
        <v>259</v>
      </c>
      <c r="L387" s="3">
        <v>147</v>
      </c>
      <c r="M387" s="3">
        <v>209</v>
      </c>
      <c r="N387" s="3">
        <v>244</v>
      </c>
      <c r="O387" s="3">
        <v>157</v>
      </c>
      <c r="P387" s="3">
        <v>169</v>
      </c>
      <c r="Q387" s="3">
        <v>11</v>
      </c>
    </row>
    <row r="388" spans="1:17" ht="9">
      <c r="A388" s="4" t="s">
        <v>28</v>
      </c>
      <c r="C388" s="3">
        <v>1828</v>
      </c>
      <c r="D388" s="3">
        <v>14141</v>
      </c>
      <c r="E388" s="3">
        <v>1222</v>
      </c>
      <c r="F388" s="3">
        <v>947</v>
      </c>
      <c r="G388" s="3">
        <v>2931</v>
      </c>
      <c r="H388" s="3">
        <v>136</v>
      </c>
      <c r="I388" s="3">
        <v>12144</v>
      </c>
      <c r="J388" s="3">
        <v>13823</v>
      </c>
      <c r="K388" s="3">
        <v>267</v>
      </c>
      <c r="L388" s="3">
        <v>154</v>
      </c>
      <c r="M388" s="3">
        <v>212</v>
      </c>
      <c r="N388" s="3">
        <v>250</v>
      </c>
      <c r="O388" s="3">
        <v>158</v>
      </c>
      <c r="P388" s="3">
        <v>172</v>
      </c>
      <c r="Q388" s="3">
        <v>11</v>
      </c>
    </row>
    <row r="389" spans="2:17" s="6" customFormat="1" ht="9">
      <c r="B389" s="10" t="s">
        <v>160</v>
      </c>
      <c r="C389" s="7">
        <f>C388/18138</f>
        <v>0.10078288675708458</v>
      </c>
      <c r="D389" s="7">
        <f>D388/18138</f>
        <v>0.7796339177417576</v>
      </c>
      <c r="E389" s="7">
        <f>E388/18138</f>
        <v>0.06737236740544712</v>
      </c>
      <c r="F389" s="7">
        <f>F388/18138</f>
        <v>0.05221082809571066</v>
      </c>
      <c r="G389" s="7">
        <f aca="true" t="shared" si="62" ref="G389:M389">G388/29667</f>
        <v>0.0987966427343513</v>
      </c>
      <c r="H389" s="7">
        <f t="shared" si="62"/>
        <v>0.004584218154852193</v>
      </c>
      <c r="I389" s="7">
        <f t="shared" si="62"/>
        <v>0.40934371523915464</v>
      </c>
      <c r="J389" s="7">
        <f t="shared" si="62"/>
        <v>0.46593858495971957</v>
      </c>
      <c r="K389" s="7">
        <f t="shared" si="62"/>
        <v>0.008999898877540703</v>
      </c>
      <c r="L389" s="7">
        <f t="shared" si="62"/>
        <v>0.005190952910641453</v>
      </c>
      <c r="M389" s="7">
        <f t="shared" si="62"/>
        <v>0.0071459871237401825</v>
      </c>
      <c r="N389" s="7">
        <f>N388/250</f>
        <v>1</v>
      </c>
      <c r="O389" s="7">
        <f>O388/158</f>
        <v>1</v>
      </c>
      <c r="P389" s="7">
        <v>1</v>
      </c>
      <c r="Q389" s="7">
        <f>Q388/11</f>
        <v>1</v>
      </c>
    </row>
    <row r="390" spans="2:17" ht="4.5" customHeight="1">
      <c r="B390" s="11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</row>
    <row r="391" spans="1:17" ht="9">
      <c r="A391" s="5" t="s">
        <v>141</v>
      </c>
      <c r="B391" s="11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</row>
    <row r="392" spans="2:17" ht="9">
      <c r="B392" s="9" t="s">
        <v>139</v>
      </c>
      <c r="C392" s="3">
        <v>997</v>
      </c>
      <c r="D392" s="3">
        <v>16112</v>
      </c>
      <c r="E392" s="3">
        <v>1543</v>
      </c>
      <c r="F392" s="3">
        <v>739</v>
      </c>
      <c r="G392" s="3">
        <v>3387</v>
      </c>
      <c r="H392" s="3">
        <v>245</v>
      </c>
      <c r="I392" s="3">
        <v>14188</v>
      </c>
      <c r="J392" s="3">
        <v>15555</v>
      </c>
      <c r="K392" s="3">
        <v>352</v>
      </c>
      <c r="L392" s="3">
        <v>71</v>
      </c>
      <c r="M392" s="3">
        <v>173</v>
      </c>
      <c r="N392" s="3">
        <v>296</v>
      </c>
      <c r="O392" s="3">
        <v>170</v>
      </c>
      <c r="P392" s="3">
        <v>190</v>
      </c>
      <c r="Q392" s="3">
        <v>29</v>
      </c>
    </row>
    <row r="393" spans="1:17" ht="9">
      <c r="A393" s="4" t="s">
        <v>28</v>
      </c>
      <c r="C393" s="3">
        <v>997</v>
      </c>
      <c r="D393" s="3">
        <v>16112</v>
      </c>
      <c r="E393" s="3">
        <v>1543</v>
      </c>
      <c r="F393" s="3">
        <v>739</v>
      </c>
      <c r="G393" s="3">
        <v>3387</v>
      </c>
      <c r="H393" s="3">
        <v>245</v>
      </c>
      <c r="I393" s="3">
        <v>14188</v>
      </c>
      <c r="J393" s="3">
        <v>15555</v>
      </c>
      <c r="K393" s="3">
        <v>352</v>
      </c>
      <c r="L393" s="3">
        <v>71</v>
      </c>
      <c r="M393" s="3">
        <v>173</v>
      </c>
      <c r="N393" s="3">
        <v>296</v>
      </c>
      <c r="O393" s="3">
        <v>170</v>
      </c>
      <c r="P393" s="3">
        <v>190</v>
      </c>
      <c r="Q393" s="3">
        <v>29</v>
      </c>
    </row>
    <row r="394" spans="2:17" s="6" customFormat="1" ht="9">
      <c r="B394" s="10" t="s">
        <v>160</v>
      </c>
      <c r="C394" s="7">
        <f>C393/19391</f>
        <v>0.05141560517765974</v>
      </c>
      <c r="D394" s="7">
        <f>D393/19391</f>
        <v>0.8309009334227219</v>
      </c>
      <c r="E394" s="7">
        <f>E393/19391</f>
        <v>0.07957299778247641</v>
      </c>
      <c r="F394" s="7">
        <f>F393/19391</f>
        <v>0.038110463617141974</v>
      </c>
      <c r="G394" s="7">
        <f aca="true" t="shared" si="63" ref="G394:M394">G393/33971</f>
        <v>0.09970268758647081</v>
      </c>
      <c r="H394" s="7">
        <f t="shared" si="63"/>
        <v>0.007212033793529775</v>
      </c>
      <c r="I394" s="7">
        <f t="shared" si="63"/>
        <v>0.41765034882694063</v>
      </c>
      <c r="J394" s="7">
        <f t="shared" si="63"/>
        <v>0.4578905537075741</v>
      </c>
      <c r="K394" s="7">
        <f t="shared" si="63"/>
        <v>0.010361779164581555</v>
      </c>
      <c r="L394" s="7">
        <f t="shared" si="63"/>
        <v>0.0020900179564923025</v>
      </c>
      <c r="M394" s="7">
        <f t="shared" si="63"/>
        <v>0.005092578964410821</v>
      </c>
      <c r="N394" s="7">
        <f>N393/296</f>
        <v>1</v>
      </c>
      <c r="O394" s="7">
        <f>O393/170</f>
        <v>1</v>
      </c>
      <c r="P394" s="7">
        <v>1</v>
      </c>
      <c r="Q394" s="7">
        <f>Q393/29</f>
        <v>1</v>
      </c>
    </row>
    <row r="395" spans="2:17" ht="4.5" customHeight="1">
      <c r="B395" s="11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</row>
    <row r="396" spans="1:17" ht="9">
      <c r="A396" s="5" t="s">
        <v>142</v>
      </c>
      <c r="B396" s="11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</row>
    <row r="397" spans="2:17" ht="9">
      <c r="B397" s="9" t="s">
        <v>139</v>
      </c>
      <c r="C397" s="3">
        <v>898</v>
      </c>
      <c r="D397" s="3">
        <v>14146</v>
      </c>
      <c r="E397" s="3">
        <v>1353</v>
      </c>
      <c r="F397" s="3">
        <v>644</v>
      </c>
      <c r="G397" s="3">
        <v>3407</v>
      </c>
      <c r="H397" s="3">
        <v>230</v>
      </c>
      <c r="I397" s="3">
        <v>9012</v>
      </c>
      <c r="J397" s="3">
        <v>12359</v>
      </c>
      <c r="K397" s="3">
        <v>211</v>
      </c>
      <c r="L397" s="3">
        <v>36</v>
      </c>
      <c r="M397" s="3">
        <v>237</v>
      </c>
      <c r="N397" s="3">
        <v>318</v>
      </c>
      <c r="O397" s="3">
        <v>62</v>
      </c>
      <c r="P397" s="3">
        <v>94</v>
      </c>
      <c r="Q397" s="3">
        <v>11</v>
      </c>
    </row>
    <row r="398" spans="2:17" ht="9">
      <c r="B398" s="9" t="s">
        <v>101</v>
      </c>
      <c r="C398" s="3">
        <v>437</v>
      </c>
      <c r="D398" s="3">
        <v>3940</v>
      </c>
      <c r="E398" s="3">
        <v>472</v>
      </c>
      <c r="F398" s="3">
        <v>320</v>
      </c>
      <c r="G398" s="3">
        <v>1039</v>
      </c>
      <c r="H398" s="3">
        <v>71</v>
      </c>
      <c r="I398" s="3">
        <v>3595</v>
      </c>
      <c r="J398" s="3">
        <v>4917</v>
      </c>
      <c r="K398" s="3">
        <v>104</v>
      </c>
      <c r="L398" s="3">
        <v>20</v>
      </c>
      <c r="M398" s="3">
        <v>147</v>
      </c>
      <c r="N398" s="3">
        <v>125</v>
      </c>
      <c r="O398" s="3">
        <v>69</v>
      </c>
      <c r="P398" s="3">
        <v>70</v>
      </c>
      <c r="Q398" s="3">
        <v>7</v>
      </c>
    </row>
    <row r="399" spans="1:17" ht="9">
      <c r="A399" s="4" t="s">
        <v>28</v>
      </c>
      <c r="C399" s="3">
        <v>1335</v>
      </c>
      <c r="D399" s="3">
        <v>18086</v>
      </c>
      <c r="E399" s="3">
        <v>1825</v>
      </c>
      <c r="F399" s="3">
        <v>964</v>
      </c>
      <c r="G399" s="3">
        <v>4446</v>
      </c>
      <c r="H399" s="3">
        <v>301</v>
      </c>
      <c r="I399" s="3">
        <v>12607</v>
      </c>
      <c r="J399" s="3">
        <v>17276</v>
      </c>
      <c r="K399" s="3">
        <v>315</v>
      </c>
      <c r="L399" s="3">
        <v>56</v>
      </c>
      <c r="M399" s="3">
        <v>384</v>
      </c>
      <c r="N399" s="3">
        <v>443</v>
      </c>
      <c r="O399" s="3">
        <v>131</v>
      </c>
      <c r="P399" s="3">
        <v>164</v>
      </c>
      <c r="Q399" s="3">
        <v>18</v>
      </c>
    </row>
    <row r="400" spans="2:17" s="6" customFormat="1" ht="9">
      <c r="B400" s="10" t="s">
        <v>160</v>
      </c>
      <c r="C400" s="7">
        <f>C399/22210</f>
        <v>0.06010805943268798</v>
      </c>
      <c r="D400" s="7">
        <f>D399/22210</f>
        <v>0.8143178748311571</v>
      </c>
      <c r="E400" s="7">
        <f>E399/22210</f>
        <v>0.08217019360648356</v>
      </c>
      <c r="F400" s="7">
        <f>F399/22210</f>
        <v>0.04340387212967132</v>
      </c>
      <c r="G400" s="7">
        <f aca="true" t="shared" si="64" ref="G400:M400">G399/35385</f>
        <v>0.12564646036456126</v>
      </c>
      <c r="H400" s="7">
        <f t="shared" si="64"/>
        <v>0.008506429277942632</v>
      </c>
      <c r="I400" s="7">
        <f t="shared" si="64"/>
        <v>0.3562809099901088</v>
      </c>
      <c r="J400" s="7">
        <f t="shared" si="64"/>
        <v>0.4882294757665678</v>
      </c>
      <c r="K400" s="7">
        <f t="shared" si="64"/>
        <v>0.008902077151335312</v>
      </c>
      <c r="L400" s="7">
        <f t="shared" si="64"/>
        <v>0.001582591493570722</v>
      </c>
      <c r="M400" s="7">
        <f t="shared" si="64"/>
        <v>0.010852055955913523</v>
      </c>
      <c r="N400" s="7">
        <f>N399/443</f>
        <v>1</v>
      </c>
      <c r="O400" s="7">
        <f>O399/131</f>
        <v>1</v>
      </c>
      <c r="P400" s="7">
        <v>1</v>
      </c>
      <c r="Q400" s="7">
        <f>Q399/18</f>
        <v>1</v>
      </c>
    </row>
    <row r="401" spans="2:17" ht="4.5" customHeight="1">
      <c r="B401" s="11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</row>
    <row r="402" spans="1:17" ht="9">
      <c r="A402" s="5" t="s">
        <v>144</v>
      </c>
      <c r="B402" s="11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</row>
    <row r="403" spans="2:17" ht="9">
      <c r="B403" s="9" t="s">
        <v>139</v>
      </c>
      <c r="C403" s="3">
        <v>725</v>
      </c>
      <c r="D403" s="3">
        <v>8722</v>
      </c>
      <c r="E403" s="3">
        <v>867</v>
      </c>
      <c r="F403" s="3">
        <v>568</v>
      </c>
      <c r="G403" s="3">
        <v>2251</v>
      </c>
      <c r="H403" s="3">
        <v>96</v>
      </c>
      <c r="I403" s="3">
        <v>8043</v>
      </c>
      <c r="J403" s="3">
        <v>10777</v>
      </c>
      <c r="K403" s="3">
        <v>242</v>
      </c>
      <c r="L403" s="3">
        <v>33</v>
      </c>
      <c r="M403" s="3">
        <v>128</v>
      </c>
      <c r="N403" s="3">
        <v>219</v>
      </c>
      <c r="O403" s="3">
        <v>70</v>
      </c>
      <c r="P403" s="3">
        <v>123</v>
      </c>
      <c r="Q403" s="3">
        <v>12</v>
      </c>
    </row>
    <row r="404" spans="2:17" ht="9">
      <c r="B404" s="9" t="s">
        <v>143</v>
      </c>
      <c r="C404" s="3">
        <v>262</v>
      </c>
      <c r="D404" s="3">
        <v>2609</v>
      </c>
      <c r="E404" s="3">
        <v>349</v>
      </c>
      <c r="F404" s="3">
        <v>228</v>
      </c>
      <c r="G404" s="3">
        <v>1501</v>
      </c>
      <c r="H404" s="3">
        <v>36</v>
      </c>
      <c r="I404" s="3">
        <v>3112</v>
      </c>
      <c r="J404" s="3">
        <v>6855</v>
      </c>
      <c r="K404" s="3">
        <v>83</v>
      </c>
      <c r="L404" s="3">
        <v>6</v>
      </c>
      <c r="M404" s="3">
        <v>55</v>
      </c>
      <c r="N404" s="3">
        <v>105</v>
      </c>
      <c r="O404" s="3">
        <v>39</v>
      </c>
      <c r="P404" s="3">
        <v>95</v>
      </c>
      <c r="Q404" s="3">
        <v>6</v>
      </c>
    </row>
    <row r="405" spans="1:17" ht="9">
      <c r="A405" s="4" t="s">
        <v>28</v>
      </c>
      <c r="C405" s="3">
        <v>987</v>
      </c>
      <c r="D405" s="3">
        <v>11331</v>
      </c>
      <c r="E405" s="3">
        <v>1216</v>
      </c>
      <c r="F405" s="3">
        <v>796</v>
      </c>
      <c r="G405" s="3">
        <v>3752</v>
      </c>
      <c r="H405" s="3">
        <v>132</v>
      </c>
      <c r="I405" s="3">
        <v>11155</v>
      </c>
      <c r="J405" s="3">
        <v>17632</v>
      </c>
      <c r="K405" s="3">
        <v>325</v>
      </c>
      <c r="L405" s="3">
        <v>39</v>
      </c>
      <c r="M405" s="3">
        <v>183</v>
      </c>
      <c r="N405" s="3">
        <v>324</v>
      </c>
      <c r="O405" s="3">
        <v>109</v>
      </c>
      <c r="P405" s="3">
        <v>218</v>
      </c>
      <c r="Q405" s="3">
        <v>18</v>
      </c>
    </row>
    <row r="406" spans="2:17" s="6" customFormat="1" ht="9">
      <c r="B406" s="10" t="s">
        <v>160</v>
      </c>
      <c r="C406" s="7">
        <f>C405/14330</f>
        <v>0.0688764829030007</v>
      </c>
      <c r="D406" s="7">
        <f>D405/14330</f>
        <v>0.790718771807397</v>
      </c>
      <c r="E406" s="7">
        <f>E405/14330</f>
        <v>0.08485694347522679</v>
      </c>
      <c r="F406" s="7">
        <f>F405/14330</f>
        <v>0.055547801814375436</v>
      </c>
      <c r="G406" s="7">
        <f aca="true" t="shared" si="65" ref="G406:M406">G405/33218</f>
        <v>0.11295080980191463</v>
      </c>
      <c r="H406" s="7">
        <f t="shared" si="65"/>
        <v>0.003973749172135589</v>
      </c>
      <c r="I406" s="7">
        <f t="shared" si="65"/>
        <v>0.33581190920585224</v>
      </c>
      <c r="J406" s="7">
        <f t="shared" si="65"/>
        <v>0.5307965560840509</v>
      </c>
      <c r="K406" s="7">
        <f t="shared" si="65"/>
        <v>0.00978385212836414</v>
      </c>
      <c r="L406" s="7">
        <f t="shared" si="65"/>
        <v>0.0011740622554036967</v>
      </c>
      <c r="M406" s="7">
        <f t="shared" si="65"/>
        <v>0.005509061352278885</v>
      </c>
      <c r="N406" s="7">
        <f>N405/324</f>
        <v>1</v>
      </c>
      <c r="O406" s="7">
        <f>O405/109</f>
        <v>1</v>
      </c>
      <c r="P406" s="7">
        <f>P405/218</f>
        <v>1</v>
      </c>
      <c r="Q406" s="7">
        <f>Q405/18</f>
        <v>1</v>
      </c>
    </row>
    <row r="407" spans="2:17" ht="4.5" customHeight="1">
      <c r="B407" s="11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</row>
    <row r="408" spans="1:17" ht="9">
      <c r="A408" s="5" t="s">
        <v>145</v>
      </c>
      <c r="B408" s="11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</row>
    <row r="409" spans="2:17" ht="9">
      <c r="B409" s="9" t="s">
        <v>131</v>
      </c>
      <c r="C409" s="3">
        <v>2505</v>
      </c>
      <c r="D409" s="3">
        <v>19671</v>
      </c>
      <c r="E409" s="3">
        <v>1941</v>
      </c>
      <c r="F409" s="3">
        <v>1504</v>
      </c>
      <c r="G409" s="3">
        <v>4333</v>
      </c>
      <c r="H409" s="3">
        <v>205</v>
      </c>
      <c r="I409" s="3">
        <v>17853</v>
      </c>
      <c r="J409" s="3">
        <v>24686</v>
      </c>
      <c r="K409" s="3">
        <v>443</v>
      </c>
      <c r="L409" s="3">
        <v>70</v>
      </c>
      <c r="M409" s="3">
        <v>218</v>
      </c>
      <c r="N409" s="3">
        <v>347</v>
      </c>
      <c r="O409" s="3">
        <v>214</v>
      </c>
      <c r="P409" s="3">
        <v>389</v>
      </c>
      <c r="Q409" s="3">
        <v>59</v>
      </c>
    </row>
    <row r="410" spans="1:17" ht="9">
      <c r="A410" s="4" t="s">
        <v>28</v>
      </c>
      <c r="C410" s="3">
        <v>2505</v>
      </c>
      <c r="D410" s="3">
        <v>19671</v>
      </c>
      <c r="E410" s="3">
        <v>1941</v>
      </c>
      <c r="F410" s="3">
        <v>1504</v>
      </c>
      <c r="G410" s="3">
        <v>4333</v>
      </c>
      <c r="H410" s="3">
        <v>205</v>
      </c>
      <c r="I410" s="3">
        <v>17853</v>
      </c>
      <c r="J410" s="3">
        <v>24686</v>
      </c>
      <c r="K410" s="3">
        <v>443</v>
      </c>
      <c r="L410" s="3">
        <v>70</v>
      </c>
      <c r="M410" s="3">
        <v>218</v>
      </c>
      <c r="N410" s="3">
        <v>347</v>
      </c>
      <c r="O410" s="3">
        <v>214</v>
      </c>
      <c r="P410" s="3">
        <v>389</v>
      </c>
      <c r="Q410" s="3">
        <v>59</v>
      </c>
    </row>
    <row r="411" spans="2:17" s="6" customFormat="1" ht="9">
      <c r="B411" s="10" t="s">
        <v>160</v>
      </c>
      <c r="C411" s="7">
        <f>C410/25621</f>
        <v>0.09777135943171616</v>
      </c>
      <c r="D411" s="7">
        <f>D410/25621</f>
        <v>0.7677686272979197</v>
      </c>
      <c r="E411" s="7">
        <f>E410/25621</f>
        <v>0.07575816712852738</v>
      </c>
      <c r="F411" s="7">
        <f>F410/25621</f>
        <v>0.05870184614183677</v>
      </c>
      <c r="G411" s="7">
        <f aca="true" t="shared" si="66" ref="G411:M411">G410/47808</f>
        <v>0.09063336680053548</v>
      </c>
      <c r="H411" s="7">
        <f t="shared" si="66"/>
        <v>0.004287985274431058</v>
      </c>
      <c r="I411" s="7">
        <f t="shared" si="66"/>
        <v>0.3734312248995984</v>
      </c>
      <c r="J411" s="7">
        <f t="shared" si="66"/>
        <v>0.5163570950468541</v>
      </c>
      <c r="K411" s="7">
        <f t="shared" si="66"/>
        <v>0.009266231593038823</v>
      </c>
      <c r="L411" s="7">
        <f t="shared" si="66"/>
        <v>0.001464190093708166</v>
      </c>
      <c r="M411" s="7">
        <f t="shared" si="66"/>
        <v>0.004559906291834003</v>
      </c>
      <c r="N411" s="7">
        <f>N410/347</f>
        <v>1</v>
      </c>
      <c r="O411" s="7">
        <f>O410/214</f>
        <v>1</v>
      </c>
      <c r="P411" s="7">
        <v>1</v>
      </c>
      <c r="Q411" s="7">
        <f>Q410/59</f>
        <v>1</v>
      </c>
    </row>
    <row r="412" spans="2:17" ht="4.5" customHeight="1">
      <c r="B412" s="11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</row>
    <row r="413" spans="1:17" ht="9">
      <c r="A413" s="5" t="s">
        <v>146</v>
      </c>
      <c r="B413" s="11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</row>
    <row r="414" spans="2:17" ht="9">
      <c r="B414" s="9" t="s">
        <v>131</v>
      </c>
      <c r="C414" s="3">
        <v>1314</v>
      </c>
      <c r="D414" s="3">
        <v>14968</v>
      </c>
      <c r="E414" s="3">
        <v>1649</v>
      </c>
      <c r="F414" s="3">
        <v>1087</v>
      </c>
      <c r="G414" s="3">
        <v>4405</v>
      </c>
      <c r="H414" s="3">
        <v>185</v>
      </c>
      <c r="I414" s="3">
        <v>10290</v>
      </c>
      <c r="J414" s="3">
        <v>16209</v>
      </c>
      <c r="K414" s="3">
        <v>650</v>
      </c>
      <c r="L414" s="3">
        <v>80</v>
      </c>
      <c r="M414" s="3">
        <v>188</v>
      </c>
      <c r="N414" s="3">
        <v>339</v>
      </c>
      <c r="O414" s="3">
        <v>207</v>
      </c>
      <c r="P414" s="3">
        <v>358</v>
      </c>
      <c r="Q414" s="3">
        <v>48</v>
      </c>
    </row>
    <row r="415" spans="1:17" ht="9">
      <c r="A415" s="4" t="s">
        <v>28</v>
      </c>
      <c r="C415" s="3">
        <v>1314</v>
      </c>
      <c r="D415" s="3">
        <v>14968</v>
      </c>
      <c r="E415" s="3">
        <v>1649</v>
      </c>
      <c r="F415" s="3">
        <v>1087</v>
      </c>
      <c r="G415" s="3">
        <v>4405</v>
      </c>
      <c r="H415" s="3">
        <v>185</v>
      </c>
      <c r="I415" s="3">
        <v>10290</v>
      </c>
      <c r="J415" s="3">
        <v>16209</v>
      </c>
      <c r="K415" s="3">
        <v>650</v>
      </c>
      <c r="L415" s="3">
        <v>80</v>
      </c>
      <c r="M415" s="3">
        <v>188</v>
      </c>
      <c r="N415" s="3">
        <v>339</v>
      </c>
      <c r="O415" s="3">
        <v>207</v>
      </c>
      <c r="P415" s="3">
        <v>358</v>
      </c>
      <c r="Q415" s="3">
        <v>48</v>
      </c>
    </row>
    <row r="416" spans="2:17" s="6" customFormat="1" ht="9">
      <c r="B416" s="10" t="s">
        <v>160</v>
      </c>
      <c r="C416" s="7">
        <f>C415/19018</f>
        <v>0.06909243874224419</v>
      </c>
      <c r="D416" s="7">
        <f>D415/19018</f>
        <v>0.7870438531917131</v>
      </c>
      <c r="E416" s="7">
        <f>E415/19018</f>
        <v>0.08670732989799138</v>
      </c>
      <c r="F416" s="7">
        <f>F415/19018</f>
        <v>0.05715637816805132</v>
      </c>
      <c r="G416" s="7">
        <f aca="true" t="shared" si="67" ref="G416:M416">G415/32007</f>
        <v>0.13762614428093856</v>
      </c>
      <c r="H416" s="7">
        <f t="shared" si="67"/>
        <v>0.005779985628143844</v>
      </c>
      <c r="I416" s="7">
        <f t="shared" si="67"/>
        <v>0.32149217358702786</v>
      </c>
      <c r="J416" s="7">
        <f t="shared" si="67"/>
        <v>0.5064204705220733</v>
      </c>
      <c r="K416" s="7">
        <f t="shared" si="67"/>
        <v>0.020308057612397287</v>
      </c>
      <c r="L416" s="7">
        <f t="shared" si="67"/>
        <v>0.002499453244602743</v>
      </c>
      <c r="M416" s="7">
        <f t="shared" si="67"/>
        <v>0.005873715124816446</v>
      </c>
      <c r="N416" s="7">
        <f>N415/339</f>
        <v>1</v>
      </c>
      <c r="O416" s="7">
        <f>O415/207</f>
        <v>1</v>
      </c>
      <c r="P416" s="7">
        <v>1</v>
      </c>
      <c r="Q416" s="7">
        <f>Q415/48</f>
        <v>1</v>
      </c>
    </row>
    <row r="417" spans="2:17" ht="4.5" customHeight="1">
      <c r="B417" s="11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</row>
    <row r="418" spans="1:17" ht="9">
      <c r="A418" s="5" t="s">
        <v>147</v>
      </c>
      <c r="B418" s="11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</row>
    <row r="419" spans="2:17" ht="9">
      <c r="B419" s="9" t="s">
        <v>131</v>
      </c>
      <c r="C419" s="3">
        <v>781</v>
      </c>
      <c r="D419" s="3">
        <v>9353</v>
      </c>
      <c r="E419" s="3">
        <v>1233</v>
      </c>
      <c r="F419" s="3">
        <v>522</v>
      </c>
      <c r="G419" s="3">
        <v>1243</v>
      </c>
      <c r="H419" s="3">
        <v>90</v>
      </c>
      <c r="I419" s="3">
        <v>3337</v>
      </c>
      <c r="J419" s="3">
        <v>5377</v>
      </c>
      <c r="K419" s="3">
        <v>394</v>
      </c>
      <c r="L419" s="3">
        <v>40</v>
      </c>
      <c r="M419" s="3">
        <v>86</v>
      </c>
      <c r="N419" s="3">
        <v>143</v>
      </c>
      <c r="O419" s="3">
        <v>85</v>
      </c>
      <c r="P419" s="3">
        <v>128</v>
      </c>
      <c r="Q419" s="3">
        <v>22</v>
      </c>
    </row>
    <row r="420" spans="1:17" ht="9">
      <c r="A420" s="4" t="s">
        <v>28</v>
      </c>
      <c r="C420" s="3">
        <v>781</v>
      </c>
      <c r="D420" s="3">
        <v>9353</v>
      </c>
      <c r="E420" s="3">
        <v>1233</v>
      </c>
      <c r="F420" s="3">
        <v>522</v>
      </c>
      <c r="G420" s="3">
        <v>1243</v>
      </c>
      <c r="H420" s="3">
        <v>90</v>
      </c>
      <c r="I420" s="3">
        <v>3337</v>
      </c>
      <c r="J420" s="3">
        <v>5377</v>
      </c>
      <c r="K420" s="3">
        <v>394</v>
      </c>
      <c r="L420" s="3">
        <v>40</v>
      </c>
      <c r="M420" s="3">
        <v>86</v>
      </c>
      <c r="N420" s="3">
        <v>143</v>
      </c>
      <c r="O420" s="3">
        <v>85</v>
      </c>
      <c r="P420" s="3">
        <v>128</v>
      </c>
      <c r="Q420" s="3">
        <v>22</v>
      </c>
    </row>
    <row r="421" spans="2:17" s="6" customFormat="1" ht="9">
      <c r="B421" s="10" t="s">
        <v>160</v>
      </c>
      <c r="C421" s="7">
        <f>C420/11889</f>
        <v>0.06569097485070233</v>
      </c>
      <c r="D421" s="7">
        <f>D420/11889</f>
        <v>0.7866935823029692</v>
      </c>
      <c r="E421" s="7">
        <f>E420/11889</f>
        <v>0.10370931112793338</v>
      </c>
      <c r="F421" s="7">
        <f>F420/11889</f>
        <v>0.04390613171839516</v>
      </c>
      <c r="G421" s="7">
        <f aca="true" t="shared" si="68" ref="G421:M421">G420/10567</f>
        <v>0.11763035866376455</v>
      </c>
      <c r="H421" s="7">
        <f t="shared" si="68"/>
        <v>0.008517081480079493</v>
      </c>
      <c r="I421" s="7">
        <f t="shared" si="68"/>
        <v>0.3157944544336141</v>
      </c>
      <c r="J421" s="7">
        <f t="shared" si="68"/>
        <v>0.5088483013154159</v>
      </c>
      <c r="K421" s="7">
        <f t="shared" si="68"/>
        <v>0.03728589003501467</v>
      </c>
      <c r="L421" s="7">
        <f t="shared" si="68"/>
        <v>0.003785369546701997</v>
      </c>
      <c r="M421" s="7">
        <f t="shared" si="68"/>
        <v>0.008138544525409293</v>
      </c>
      <c r="N421" s="7">
        <f>N420/143</f>
        <v>1</v>
      </c>
      <c r="O421" s="7">
        <f>O420/85</f>
        <v>1</v>
      </c>
      <c r="P421" s="7">
        <v>1</v>
      </c>
      <c r="Q421" s="7">
        <f>Q420/22</f>
        <v>1</v>
      </c>
    </row>
    <row r="422" spans="2:17" ht="4.5" customHeight="1">
      <c r="B422" s="11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</row>
    <row r="423" spans="1:17" ht="9">
      <c r="A423" s="5" t="s">
        <v>148</v>
      </c>
      <c r="B423" s="11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</row>
    <row r="424" spans="2:17" ht="9">
      <c r="B424" s="9" t="s">
        <v>131</v>
      </c>
      <c r="C424" s="3">
        <v>1777</v>
      </c>
      <c r="D424" s="3">
        <v>23274</v>
      </c>
      <c r="E424" s="3">
        <v>2328</v>
      </c>
      <c r="F424" s="3">
        <v>1784</v>
      </c>
      <c r="G424" s="3">
        <v>5629</v>
      </c>
      <c r="H424" s="3">
        <v>273</v>
      </c>
      <c r="I424" s="3">
        <v>27125</v>
      </c>
      <c r="J424" s="3">
        <v>30916</v>
      </c>
      <c r="K424" s="3">
        <v>441</v>
      </c>
      <c r="L424" s="3">
        <v>262</v>
      </c>
      <c r="M424" s="3">
        <v>284</v>
      </c>
      <c r="N424" s="3">
        <v>502</v>
      </c>
      <c r="O424" s="3">
        <v>359</v>
      </c>
      <c r="P424" s="3">
        <v>497</v>
      </c>
      <c r="Q424" s="3">
        <v>81</v>
      </c>
    </row>
    <row r="425" spans="1:17" ht="9">
      <c r="A425" s="4" t="s">
        <v>28</v>
      </c>
      <c r="C425" s="3">
        <v>1777</v>
      </c>
      <c r="D425" s="3">
        <v>23274</v>
      </c>
      <c r="E425" s="3">
        <v>2328</v>
      </c>
      <c r="F425" s="3">
        <v>1784</v>
      </c>
      <c r="G425" s="3">
        <v>5629</v>
      </c>
      <c r="H425" s="3">
        <v>273</v>
      </c>
      <c r="I425" s="3">
        <v>27125</v>
      </c>
      <c r="J425" s="3">
        <v>30916</v>
      </c>
      <c r="K425" s="3">
        <v>441</v>
      </c>
      <c r="L425" s="3">
        <v>262</v>
      </c>
      <c r="M425" s="3">
        <v>284</v>
      </c>
      <c r="N425" s="3">
        <v>502</v>
      </c>
      <c r="O425" s="3">
        <v>359</v>
      </c>
      <c r="P425" s="3">
        <v>497</v>
      </c>
      <c r="Q425" s="3">
        <v>81</v>
      </c>
    </row>
    <row r="426" spans="2:17" s="6" customFormat="1" ht="9">
      <c r="B426" s="10" t="s">
        <v>160</v>
      </c>
      <c r="C426" s="7">
        <f>C425/29163</f>
        <v>0.06093337448136337</v>
      </c>
      <c r="D426" s="7">
        <f>D425/29163</f>
        <v>0.7980660425882111</v>
      </c>
      <c r="E426" s="7">
        <f>E425/29163</f>
        <v>0.07982717827384014</v>
      </c>
      <c r="F426" s="7">
        <f>F425/29163</f>
        <v>0.0611734046565854</v>
      </c>
      <c r="G426" s="7">
        <f aca="true" t="shared" si="69" ref="G426:M426">G425/64930</f>
        <v>0.08669336208224242</v>
      </c>
      <c r="H426" s="7">
        <f t="shared" si="69"/>
        <v>0.0042045279531803485</v>
      </c>
      <c r="I426" s="7">
        <f t="shared" si="69"/>
        <v>0.41775758509163713</v>
      </c>
      <c r="J426" s="7">
        <f t="shared" si="69"/>
        <v>0.4761435391960573</v>
      </c>
      <c r="K426" s="7">
        <f t="shared" si="69"/>
        <v>0.0067919297705221005</v>
      </c>
      <c r="L426" s="7">
        <f t="shared" si="69"/>
        <v>0.004035114738949638</v>
      </c>
      <c r="M426" s="7">
        <f t="shared" si="69"/>
        <v>0.004373941167411058</v>
      </c>
      <c r="N426" s="7">
        <f>N425/502</f>
        <v>1</v>
      </c>
      <c r="O426" s="7">
        <f>O425/359</f>
        <v>1</v>
      </c>
      <c r="P426" s="7">
        <v>1</v>
      </c>
      <c r="Q426" s="7">
        <f>Q425/81</f>
        <v>1</v>
      </c>
    </row>
    <row r="427" spans="2:17" ht="4.5" customHeight="1">
      <c r="B427" s="11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</row>
    <row r="428" spans="1:17" ht="9">
      <c r="A428" s="5" t="s">
        <v>149</v>
      </c>
      <c r="B428" s="11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</row>
    <row r="429" spans="2:17" ht="9">
      <c r="B429" s="9" t="s">
        <v>131</v>
      </c>
      <c r="C429" s="3">
        <v>1550</v>
      </c>
      <c r="D429" s="3">
        <v>11117</v>
      </c>
      <c r="E429" s="3">
        <v>1262</v>
      </c>
      <c r="F429" s="3">
        <v>835</v>
      </c>
      <c r="G429" s="3">
        <v>4025</v>
      </c>
      <c r="H429" s="3">
        <v>211</v>
      </c>
      <c r="I429" s="3">
        <v>15435</v>
      </c>
      <c r="J429" s="3">
        <v>21662</v>
      </c>
      <c r="K429" s="3">
        <v>288</v>
      </c>
      <c r="L429" s="3">
        <v>74</v>
      </c>
      <c r="M429" s="3">
        <v>190</v>
      </c>
      <c r="N429" s="3">
        <v>290</v>
      </c>
      <c r="O429" s="3">
        <v>133</v>
      </c>
      <c r="P429" s="3">
        <v>255</v>
      </c>
      <c r="Q429" s="3">
        <v>26</v>
      </c>
    </row>
    <row r="430" spans="2:17" ht="9">
      <c r="B430" s="9" t="s">
        <v>139</v>
      </c>
      <c r="C430" s="3">
        <v>441</v>
      </c>
      <c r="D430" s="3">
        <v>3948</v>
      </c>
      <c r="E430" s="3">
        <v>339</v>
      </c>
      <c r="F430" s="3">
        <v>208</v>
      </c>
      <c r="G430" s="3">
        <v>971</v>
      </c>
      <c r="H430" s="3">
        <v>70</v>
      </c>
      <c r="I430" s="3">
        <v>3706</v>
      </c>
      <c r="J430" s="3">
        <v>4714</v>
      </c>
      <c r="K430" s="3">
        <v>138</v>
      </c>
      <c r="L430" s="3">
        <v>15</v>
      </c>
      <c r="M430" s="3">
        <v>42</v>
      </c>
      <c r="N430" s="3">
        <v>94</v>
      </c>
      <c r="O430" s="3">
        <v>28</v>
      </c>
      <c r="P430" s="3">
        <v>61</v>
      </c>
      <c r="Q430" s="3">
        <v>8</v>
      </c>
    </row>
    <row r="431" spans="1:17" ht="9">
      <c r="A431" s="4" t="s">
        <v>28</v>
      </c>
      <c r="C431" s="3">
        <v>1991</v>
      </c>
      <c r="D431" s="3">
        <v>15065</v>
      </c>
      <c r="E431" s="3">
        <v>1601</v>
      </c>
      <c r="F431" s="3">
        <v>1043</v>
      </c>
      <c r="G431" s="3">
        <v>4996</v>
      </c>
      <c r="H431" s="3">
        <v>281</v>
      </c>
      <c r="I431" s="3">
        <v>19141</v>
      </c>
      <c r="J431" s="3">
        <v>26376</v>
      </c>
      <c r="K431" s="3">
        <v>426</v>
      </c>
      <c r="L431" s="3">
        <v>89</v>
      </c>
      <c r="M431" s="3">
        <v>232</v>
      </c>
      <c r="N431" s="3">
        <v>384</v>
      </c>
      <c r="O431" s="3">
        <v>161</v>
      </c>
      <c r="P431" s="3">
        <v>316</v>
      </c>
      <c r="Q431" s="3">
        <v>34</v>
      </c>
    </row>
    <row r="432" spans="2:17" s="6" customFormat="1" ht="9">
      <c r="B432" s="10" t="s">
        <v>160</v>
      </c>
      <c r="C432" s="7">
        <f>C431/19700</f>
        <v>0.10106598984771574</v>
      </c>
      <c r="D432" s="7">
        <f>D431/19700</f>
        <v>0.7647208121827411</v>
      </c>
      <c r="E432" s="7">
        <f>E431/19700</f>
        <v>0.08126903553299493</v>
      </c>
      <c r="F432" s="7">
        <f>F431/19700</f>
        <v>0.052944162436548224</v>
      </c>
      <c r="G432" s="7">
        <f aca="true" t="shared" si="70" ref="G432:M432">G431/51541</f>
        <v>0.09693253914359443</v>
      </c>
      <c r="H432" s="7">
        <f t="shared" si="70"/>
        <v>0.005451970276090879</v>
      </c>
      <c r="I432" s="7">
        <f t="shared" si="70"/>
        <v>0.37137424574610506</v>
      </c>
      <c r="J432" s="7">
        <f t="shared" si="70"/>
        <v>0.511747928833356</v>
      </c>
      <c r="K432" s="7">
        <f t="shared" si="70"/>
        <v>0.008265264546671583</v>
      </c>
      <c r="L432" s="7">
        <f t="shared" si="70"/>
        <v>0.0017267806212529831</v>
      </c>
      <c r="M432" s="7">
        <f t="shared" si="70"/>
        <v>0.004501270832929124</v>
      </c>
      <c r="N432" s="7">
        <f>N431/384</f>
        <v>1</v>
      </c>
      <c r="O432" s="7">
        <f>O431/161</f>
        <v>1</v>
      </c>
      <c r="P432" s="7">
        <v>1</v>
      </c>
      <c r="Q432" s="7">
        <f>Q431/34</f>
        <v>1</v>
      </c>
    </row>
    <row r="433" spans="2:17" ht="4.5" customHeight="1">
      <c r="B433" s="11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</row>
    <row r="434" spans="1:17" ht="9">
      <c r="A434" s="5" t="s">
        <v>150</v>
      </c>
      <c r="B434" s="11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</row>
    <row r="435" spans="2:17" ht="9">
      <c r="B435" s="9" t="s">
        <v>131</v>
      </c>
      <c r="C435" s="3">
        <v>1475</v>
      </c>
      <c r="D435" s="3">
        <v>15767</v>
      </c>
      <c r="E435" s="3">
        <v>2157</v>
      </c>
      <c r="F435" s="3">
        <v>1081</v>
      </c>
      <c r="G435" s="3">
        <v>3891</v>
      </c>
      <c r="H435" s="3">
        <v>219</v>
      </c>
      <c r="I435" s="3">
        <v>14254</v>
      </c>
      <c r="J435" s="3">
        <v>20536</v>
      </c>
      <c r="K435" s="3">
        <v>302</v>
      </c>
      <c r="L435" s="3">
        <v>55</v>
      </c>
      <c r="M435" s="3">
        <v>274</v>
      </c>
      <c r="N435" s="3">
        <v>334</v>
      </c>
      <c r="O435" s="3">
        <v>155</v>
      </c>
      <c r="P435" s="3">
        <v>295</v>
      </c>
      <c r="Q435" s="3">
        <v>32</v>
      </c>
    </row>
    <row r="436" spans="1:17" ht="9">
      <c r="A436" s="4" t="s">
        <v>28</v>
      </c>
      <c r="C436" s="3">
        <v>1475</v>
      </c>
      <c r="D436" s="3">
        <v>15767</v>
      </c>
      <c r="E436" s="3">
        <v>2157</v>
      </c>
      <c r="F436" s="3">
        <v>1081</v>
      </c>
      <c r="G436" s="3">
        <v>3891</v>
      </c>
      <c r="H436" s="3">
        <v>219</v>
      </c>
      <c r="I436" s="3">
        <v>14254</v>
      </c>
      <c r="J436" s="3">
        <v>20536</v>
      </c>
      <c r="K436" s="3">
        <v>302</v>
      </c>
      <c r="L436" s="3">
        <v>55</v>
      </c>
      <c r="M436" s="3">
        <v>274</v>
      </c>
      <c r="N436" s="3">
        <v>334</v>
      </c>
      <c r="O436" s="3">
        <v>155</v>
      </c>
      <c r="P436" s="3">
        <v>295</v>
      </c>
      <c r="Q436" s="3">
        <v>32</v>
      </c>
    </row>
    <row r="437" spans="2:17" s="6" customFormat="1" ht="9">
      <c r="B437" s="10" t="s">
        <v>160</v>
      </c>
      <c r="C437" s="7">
        <f>C436/20480</f>
        <v>0.072021484375</v>
      </c>
      <c r="D437" s="7">
        <f>D436/20480</f>
        <v>0.769873046875</v>
      </c>
      <c r="E437" s="7">
        <f>E436/20480</f>
        <v>0.105322265625</v>
      </c>
      <c r="F437" s="7">
        <f>F436/20480</f>
        <v>0.052783203125</v>
      </c>
      <c r="G437" s="7">
        <f aca="true" t="shared" si="71" ref="G437:M437">G436/39531</f>
        <v>0.09842908097442514</v>
      </c>
      <c r="H437" s="7">
        <f t="shared" si="71"/>
        <v>0.00553995598391136</v>
      </c>
      <c r="I437" s="7">
        <f t="shared" si="71"/>
        <v>0.3605777744048974</v>
      </c>
      <c r="J437" s="7">
        <f t="shared" si="71"/>
        <v>0.5194910323543548</v>
      </c>
      <c r="K437" s="7">
        <f t="shared" si="71"/>
        <v>0.0076395740052111</v>
      </c>
      <c r="L437" s="7">
        <f t="shared" si="71"/>
        <v>0.0013913131466444057</v>
      </c>
      <c r="M437" s="7">
        <f t="shared" si="71"/>
        <v>0.006931269130555766</v>
      </c>
      <c r="N437" s="7">
        <f>N436/334</f>
        <v>1</v>
      </c>
      <c r="O437" s="7">
        <f>O436/155</f>
        <v>1</v>
      </c>
      <c r="P437" s="7">
        <v>1</v>
      </c>
      <c r="Q437" s="7">
        <f>Q436/32</f>
        <v>1</v>
      </c>
    </row>
    <row r="438" spans="2:17" ht="4.5" customHeight="1">
      <c r="B438" s="11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</row>
    <row r="439" spans="1:17" ht="9">
      <c r="A439" s="5" t="s">
        <v>151</v>
      </c>
      <c r="B439" s="11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</row>
    <row r="440" spans="2:17" ht="9">
      <c r="B440" s="9" t="s">
        <v>131</v>
      </c>
      <c r="C440" s="3">
        <v>911</v>
      </c>
      <c r="D440" s="3">
        <v>10693</v>
      </c>
      <c r="E440" s="3">
        <v>1415</v>
      </c>
      <c r="F440" s="3">
        <v>816</v>
      </c>
      <c r="G440" s="3">
        <v>3124</v>
      </c>
      <c r="H440" s="3">
        <v>117</v>
      </c>
      <c r="I440" s="3">
        <v>15242</v>
      </c>
      <c r="J440" s="3">
        <v>18559</v>
      </c>
      <c r="K440" s="3">
        <v>219</v>
      </c>
      <c r="L440" s="3">
        <v>48</v>
      </c>
      <c r="M440" s="3">
        <v>179</v>
      </c>
      <c r="N440" s="3">
        <v>319</v>
      </c>
      <c r="O440" s="3">
        <v>163</v>
      </c>
      <c r="P440" s="3">
        <v>290</v>
      </c>
      <c r="Q440" s="3">
        <v>33</v>
      </c>
    </row>
    <row r="441" spans="2:17" ht="9">
      <c r="B441" s="9" t="s">
        <v>143</v>
      </c>
      <c r="C441" s="3">
        <v>496</v>
      </c>
      <c r="D441" s="3">
        <v>6110</v>
      </c>
      <c r="E441" s="3">
        <v>732</v>
      </c>
      <c r="F441" s="3">
        <v>399</v>
      </c>
      <c r="G441" s="3">
        <v>1874</v>
      </c>
      <c r="H441" s="3">
        <v>71</v>
      </c>
      <c r="I441" s="3">
        <v>3785</v>
      </c>
      <c r="J441" s="3">
        <v>8094</v>
      </c>
      <c r="K441" s="3">
        <v>116</v>
      </c>
      <c r="L441" s="3">
        <v>27</v>
      </c>
      <c r="M441" s="3">
        <v>71</v>
      </c>
      <c r="N441" s="3">
        <v>150</v>
      </c>
      <c r="O441" s="3">
        <v>66</v>
      </c>
      <c r="P441" s="3">
        <v>111</v>
      </c>
      <c r="Q441" s="3">
        <v>14</v>
      </c>
    </row>
    <row r="442" spans="1:17" ht="9">
      <c r="A442" s="4" t="s">
        <v>28</v>
      </c>
      <c r="C442" s="3">
        <v>1407</v>
      </c>
      <c r="D442" s="3">
        <v>16803</v>
      </c>
      <c r="E442" s="3">
        <v>2147</v>
      </c>
      <c r="F442" s="3">
        <v>1215</v>
      </c>
      <c r="G442" s="3">
        <v>4998</v>
      </c>
      <c r="H442" s="3">
        <v>188</v>
      </c>
      <c r="I442" s="3">
        <v>19027</v>
      </c>
      <c r="J442" s="3">
        <v>26653</v>
      </c>
      <c r="K442" s="3">
        <v>335</v>
      </c>
      <c r="L442" s="3">
        <v>75</v>
      </c>
      <c r="M442" s="3">
        <v>250</v>
      </c>
      <c r="N442" s="3">
        <v>469</v>
      </c>
      <c r="O442" s="3">
        <v>229</v>
      </c>
      <c r="P442" s="3">
        <v>401</v>
      </c>
      <c r="Q442" s="3">
        <v>47</v>
      </c>
    </row>
    <row r="443" spans="2:17" s="6" customFormat="1" ht="9">
      <c r="B443" s="10" t="s">
        <v>160</v>
      </c>
      <c r="C443" s="7">
        <f>C442/21572</f>
        <v>0.06522343778972742</v>
      </c>
      <c r="D443" s="7">
        <f>D442/21572</f>
        <v>0.7789263860559985</v>
      </c>
      <c r="E443" s="7">
        <f>E442/21572</f>
        <v>0.0995271648433154</v>
      </c>
      <c r="F443" s="7">
        <f>F442/21572</f>
        <v>0.05632301131095865</v>
      </c>
      <c r="G443" s="7">
        <f aca="true" t="shared" si="72" ref="G443:M443">G442/51526</f>
        <v>0.0969995730310911</v>
      </c>
      <c r="H443" s="7">
        <f t="shared" si="72"/>
        <v>0.0036486434033303574</v>
      </c>
      <c r="I443" s="7">
        <f t="shared" si="72"/>
        <v>0.3692698831657804</v>
      </c>
      <c r="J443" s="7">
        <f t="shared" si="72"/>
        <v>0.5172728331327874</v>
      </c>
      <c r="K443" s="7">
        <f t="shared" si="72"/>
        <v>0.0065015720218918605</v>
      </c>
      <c r="L443" s="7">
        <f t="shared" si="72"/>
        <v>0.0014555758257966851</v>
      </c>
      <c r="M443" s="7">
        <f t="shared" si="72"/>
        <v>0.004851919419322284</v>
      </c>
      <c r="N443" s="7">
        <f>N442/469</f>
        <v>1</v>
      </c>
      <c r="O443" s="7">
        <f>O442/229</f>
        <v>1</v>
      </c>
      <c r="P443" s="7">
        <v>1</v>
      </c>
      <c r="Q443" s="7">
        <f>Q442/47</f>
        <v>1</v>
      </c>
    </row>
    <row r="444" spans="2:17" ht="4.5" customHeight="1">
      <c r="B444" s="11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</row>
    <row r="445" spans="1:17" ht="9">
      <c r="A445" s="5" t="s">
        <v>152</v>
      </c>
      <c r="B445" s="11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</row>
    <row r="446" spans="2:17" ht="9">
      <c r="B446" s="9" t="s">
        <v>143</v>
      </c>
      <c r="C446" s="3">
        <v>1296</v>
      </c>
      <c r="D446" s="3">
        <v>16645</v>
      </c>
      <c r="E446" s="3">
        <v>1775</v>
      </c>
      <c r="F446" s="3">
        <v>1209</v>
      </c>
      <c r="G446" s="3">
        <v>5391</v>
      </c>
      <c r="H446" s="3">
        <v>183</v>
      </c>
      <c r="I446" s="3">
        <v>10975</v>
      </c>
      <c r="J446" s="3">
        <v>26192</v>
      </c>
      <c r="K446" s="3">
        <v>270</v>
      </c>
      <c r="L446" s="3">
        <v>57</v>
      </c>
      <c r="M446" s="3">
        <v>185</v>
      </c>
      <c r="N446" s="3">
        <v>388</v>
      </c>
      <c r="O446" s="3">
        <v>303</v>
      </c>
      <c r="P446" s="3">
        <v>315</v>
      </c>
      <c r="Q446" s="3">
        <v>81</v>
      </c>
    </row>
    <row r="447" spans="1:17" ht="9">
      <c r="A447" s="4" t="s">
        <v>28</v>
      </c>
      <c r="C447" s="3">
        <v>1296</v>
      </c>
      <c r="D447" s="3">
        <v>16645</v>
      </c>
      <c r="E447" s="3">
        <v>1775</v>
      </c>
      <c r="F447" s="3">
        <v>1209</v>
      </c>
      <c r="G447" s="3">
        <v>5391</v>
      </c>
      <c r="H447" s="3">
        <v>183</v>
      </c>
      <c r="I447" s="3">
        <v>10975</v>
      </c>
      <c r="J447" s="3">
        <v>26192</v>
      </c>
      <c r="K447" s="3">
        <v>270</v>
      </c>
      <c r="L447" s="3">
        <v>57</v>
      </c>
      <c r="M447" s="3">
        <v>185</v>
      </c>
      <c r="N447" s="3">
        <v>388</v>
      </c>
      <c r="O447" s="3">
        <v>303</v>
      </c>
      <c r="P447" s="3">
        <v>315</v>
      </c>
      <c r="Q447" s="3">
        <v>81</v>
      </c>
    </row>
    <row r="448" spans="2:17" s="6" customFormat="1" ht="9">
      <c r="B448" s="10" t="s">
        <v>160</v>
      </c>
      <c r="C448" s="7">
        <f>C447/20925</f>
        <v>0.06193548387096774</v>
      </c>
      <c r="D448" s="7">
        <f>D447/20925</f>
        <v>0.7954599761051374</v>
      </c>
      <c r="E448" s="7">
        <f>E447/20925</f>
        <v>0.08482676224611709</v>
      </c>
      <c r="F448" s="7">
        <f>F447/20925</f>
        <v>0.057777777777777775</v>
      </c>
      <c r="G448" s="7">
        <f aca="true" t="shared" si="73" ref="G448:M448">G447/43253</f>
        <v>0.12463875338126836</v>
      </c>
      <c r="H448" s="7">
        <f t="shared" si="73"/>
        <v>0.0042309203985850695</v>
      </c>
      <c r="I448" s="7">
        <f t="shared" si="73"/>
        <v>0.25373962499711</v>
      </c>
      <c r="J448" s="7">
        <f t="shared" si="73"/>
        <v>0.6055533720204379</v>
      </c>
      <c r="K448" s="7">
        <f t="shared" si="73"/>
        <v>0.006242341571682889</v>
      </c>
      <c r="L448" s="7">
        <f t="shared" si="73"/>
        <v>0.0013178276651330543</v>
      </c>
      <c r="M448" s="7">
        <f t="shared" si="73"/>
        <v>0.00427715996578272</v>
      </c>
      <c r="N448" s="7">
        <f>N447/388</f>
        <v>1</v>
      </c>
      <c r="O448" s="7">
        <f>O447/303</f>
        <v>1</v>
      </c>
      <c r="P448" s="7">
        <f>P447/315</f>
        <v>1</v>
      </c>
      <c r="Q448" s="7">
        <f>Q447/81</f>
        <v>1</v>
      </c>
    </row>
    <row r="449" spans="2:17" ht="4.5" customHeight="1">
      <c r="B449" s="11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</row>
    <row r="450" spans="1:17" ht="9">
      <c r="A450" s="5" t="s">
        <v>153</v>
      </c>
      <c r="B450" s="11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</row>
    <row r="451" spans="2:17" ht="9">
      <c r="B451" s="9" t="s">
        <v>143</v>
      </c>
      <c r="C451" s="3">
        <v>1617</v>
      </c>
      <c r="D451" s="3">
        <v>16733</v>
      </c>
      <c r="E451" s="3">
        <v>1380</v>
      </c>
      <c r="F451" s="3">
        <v>756</v>
      </c>
      <c r="G451" s="3">
        <v>6644</v>
      </c>
      <c r="H451" s="3">
        <v>192</v>
      </c>
      <c r="I451" s="3">
        <v>11873</v>
      </c>
      <c r="J451" s="3">
        <v>25424</v>
      </c>
      <c r="K451" s="3">
        <v>262</v>
      </c>
      <c r="L451" s="3">
        <v>71</v>
      </c>
      <c r="M451" s="3">
        <v>180</v>
      </c>
      <c r="N451" s="3">
        <v>324</v>
      </c>
      <c r="O451" s="3">
        <v>217</v>
      </c>
      <c r="P451" s="3">
        <v>364</v>
      </c>
      <c r="Q451" s="3">
        <v>59</v>
      </c>
    </row>
    <row r="452" spans="1:17" ht="9">
      <c r="A452" s="4" t="s">
        <v>28</v>
      </c>
      <c r="C452" s="3">
        <v>1617</v>
      </c>
      <c r="D452" s="3">
        <v>16733</v>
      </c>
      <c r="E452" s="3">
        <v>1380</v>
      </c>
      <c r="F452" s="3">
        <v>756</v>
      </c>
      <c r="G452" s="3">
        <v>6644</v>
      </c>
      <c r="H452" s="3">
        <v>192</v>
      </c>
      <c r="I452" s="3">
        <v>11873</v>
      </c>
      <c r="J452" s="3">
        <v>25424</v>
      </c>
      <c r="K452" s="3">
        <v>262</v>
      </c>
      <c r="L452" s="3">
        <v>71</v>
      </c>
      <c r="M452" s="3">
        <v>180</v>
      </c>
      <c r="N452" s="3">
        <v>324</v>
      </c>
      <c r="O452" s="3">
        <v>217</v>
      </c>
      <c r="P452" s="3">
        <v>364</v>
      </c>
      <c r="Q452" s="3">
        <v>59</v>
      </c>
    </row>
    <row r="453" spans="2:17" s="6" customFormat="1" ht="9">
      <c r="B453" s="10" t="s">
        <v>160</v>
      </c>
      <c r="C453" s="7">
        <f>C452/20486</f>
        <v>0.07893195352923948</v>
      </c>
      <c r="D453" s="7">
        <f>D452/20486</f>
        <v>0.8168017182466074</v>
      </c>
      <c r="E453" s="7">
        <f>E452/20486</f>
        <v>0.06736307722346968</v>
      </c>
      <c r="F453" s="7">
        <f>F452/20486</f>
        <v>0.036903251000683396</v>
      </c>
      <c r="G453" s="7">
        <f aca="true" t="shared" si="74" ref="G453:M453">G452/44646</f>
        <v>0.14881512341531156</v>
      </c>
      <c r="H453" s="7">
        <f t="shared" si="74"/>
        <v>0.0043004972449939526</v>
      </c>
      <c r="I453" s="7">
        <f t="shared" si="74"/>
        <v>0.26593647807194376</v>
      </c>
      <c r="J453" s="7">
        <f t="shared" si="74"/>
        <v>0.5694575101912825</v>
      </c>
      <c r="K453" s="7">
        <f t="shared" si="74"/>
        <v>0.005868386865564664</v>
      </c>
      <c r="L453" s="7">
        <f t="shared" si="74"/>
        <v>0.001590288043721722</v>
      </c>
      <c r="M453" s="7">
        <f t="shared" si="74"/>
        <v>0.00403171616718183</v>
      </c>
      <c r="N453" s="7">
        <f>N452/324</f>
        <v>1</v>
      </c>
      <c r="O453" s="7">
        <f>O452/217</f>
        <v>1</v>
      </c>
      <c r="P453" s="7">
        <v>1</v>
      </c>
      <c r="Q453" s="7">
        <f>Q452/59</f>
        <v>1</v>
      </c>
    </row>
    <row r="454" spans="2:17" ht="4.5" customHeight="1">
      <c r="B454" s="11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</row>
    <row r="455" spans="1:17" ht="9">
      <c r="A455" s="5" t="s">
        <v>154</v>
      </c>
      <c r="B455" s="11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</row>
    <row r="456" spans="2:17" ht="9">
      <c r="B456" s="9" t="s">
        <v>143</v>
      </c>
      <c r="C456" s="3">
        <v>1275</v>
      </c>
      <c r="D456" s="3">
        <v>23928</v>
      </c>
      <c r="E456" s="3">
        <v>2035</v>
      </c>
      <c r="F456" s="3">
        <v>1099</v>
      </c>
      <c r="G456" s="3">
        <v>4584</v>
      </c>
      <c r="H456" s="3">
        <v>255</v>
      </c>
      <c r="I456" s="3">
        <v>8091</v>
      </c>
      <c r="J456" s="3">
        <v>17037</v>
      </c>
      <c r="K456" s="3">
        <v>311</v>
      </c>
      <c r="L456" s="3">
        <v>92</v>
      </c>
      <c r="M456" s="3">
        <v>220</v>
      </c>
      <c r="N456" s="3">
        <v>433</v>
      </c>
      <c r="O456" s="3">
        <v>710</v>
      </c>
      <c r="P456" s="3">
        <v>517</v>
      </c>
      <c r="Q456" s="3">
        <v>106</v>
      </c>
    </row>
    <row r="457" spans="1:17" ht="9">
      <c r="A457" s="4" t="s">
        <v>28</v>
      </c>
      <c r="C457" s="3">
        <v>1275</v>
      </c>
      <c r="D457" s="3">
        <v>23928</v>
      </c>
      <c r="E457" s="3">
        <v>2035</v>
      </c>
      <c r="F457" s="3">
        <v>1099</v>
      </c>
      <c r="G457" s="3">
        <v>4584</v>
      </c>
      <c r="H457" s="3">
        <v>255</v>
      </c>
      <c r="I457" s="3">
        <v>8091</v>
      </c>
      <c r="J457" s="3">
        <v>17037</v>
      </c>
      <c r="K457" s="3">
        <v>311</v>
      </c>
      <c r="L457" s="3">
        <v>92</v>
      </c>
      <c r="M457" s="3">
        <v>220</v>
      </c>
      <c r="N457" s="3">
        <v>433</v>
      </c>
      <c r="O457" s="3">
        <v>710</v>
      </c>
      <c r="P457" s="3">
        <v>517</v>
      </c>
      <c r="Q457" s="3">
        <v>106</v>
      </c>
    </row>
    <row r="458" spans="2:17" s="6" customFormat="1" ht="9">
      <c r="B458" s="10" t="s">
        <v>160</v>
      </c>
      <c r="C458" s="7">
        <f>C457/28337</f>
        <v>0.04499417722412394</v>
      </c>
      <c r="D458" s="7">
        <f>D457/28337</f>
        <v>0.8444083706814413</v>
      </c>
      <c r="E458" s="7">
        <f>E457/28337</f>
        <v>0.0718142358047782</v>
      </c>
      <c r="F458" s="7">
        <f>F457/28337</f>
        <v>0.038783216289656634</v>
      </c>
      <c r="G458" s="7">
        <f aca="true" t="shared" si="75" ref="G458:M458">G457/30590</f>
        <v>0.14985289310232103</v>
      </c>
      <c r="H458" s="7">
        <f t="shared" si="75"/>
        <v>0.008336057535142204</v>
      </c>
      <c r="I458" s="7">
        <f t="shared" si="75"/>
        <v>0.26449820202680613</v>
      </c>
      <c r="J458" s="7">
        <f t="shared" si="75"/>
        <v>0.5569467146126185</v>
      </c>
      <c r="K458" s="7">
        <f t="shared" si="75"/>
        <v>0.010166721150702844</v>
      </c>
      <c r="L458" s="7">
        <f t="shared" si="75"/>
        <v>0.0030075187969924814</v>
      </c>
      <c r="M458" s="7">
        <f t="shared" si="75"/>
        <v>0.007191892775416803</v>
      </c>
      <c r="N458" s="7">
        <f>N457/433</f>
        <v>1</v>
      </c>
      <c r="O458" s="7">
        <f>O457/710</f>
        <v>1</v>
      </c>
      <c r="P458" s="7">
        <v>1</v>
      </c>
      <c r="Q458" s="7">
        <f>Q457/106</f>
        <v>1</v>
      </c>
    </row>
    <row r="459" spans="2:17" ht="4.5" customHeight="1">
      <c r="B459" s="11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</row>
    <row r="460" spans="1:17" ht="9">
      <c r="A460" s="5" t="s">
        <v>155</v>
      </c>
      <c r="B460" s="11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</row>
    <row r="461" spans="2:17" ht="9">
      <c r="B461" s="9" t="s">
        <v>143</v>
      </c>
      <c r="C461" s="3">
        <v>1513</v>
      </c>
      <c r="D461" s="3">
        <v>16830</v>
      </c>
      <c r="E461" s="3">
        <v>1941</v>
      </c>
      <c r="F461" s="3">
        <v>1032</v>
      </c>
      <c r="G461" s="3">
        <v>6575</v>
      </c>
      <c r="H461" s="3">
        <v>213</v>
      </c>
      <c r="I461" s="3">
        <v>8051</v>
      </c>
      <c r="J461" s="3">
        <v>27373</v>
      </c>
      <c r="K461" s="3">
        <v>477</v>
      </c>
      <c r="L461" s="3">
        <v>179</v>
      </c>
      <c r="M461" s="3">
        <v>230</v>
      </c>
      <c r="N461" s="3">
        <v>477</v>
      </c>
      <c r="O461" s="3">
        <v>196</v>
      </c>
      <c r="P461" s="3">
        <v>337</v>
      </c>
      <c r="Q461" s="3">
        <v>66</v>
      </c>
    </row>
    <row r="462" spans="1:17" ht="9">
      <c r="A462" s="4" t="s">
        <v>28</v>
      </c>
      <c r="C462" s="3">
        <v>1513</v>
      </c>
      <c r="D462" s="3">
        <v>16830</v>
      </c>
      <c r="E462" s="3">
        <v>1941</v>
      </c>
      <c r="F462" s="3">
        <v>1032</v>
      </c>
      <c r="G462" s="3">
        <v>6575</v>
      </c>
      <c r="H462" s="3">
        <v>213</v>
      </c>
      <c r="I462" s="3">
        <v>8051</v>
      </c>
      <c r="J462" s="3">
        <v>27373</v>
      </c>
      <c r="K462" s="3">
        <v>477</v>
      </c>
      <c r="L462" s="3">
        <v>179</v>
      </c>
      <c r="M462" s="3">
        <v>230</v>
      </c>
      <c r="N462" s="3">
        <v>477</v>
      </c>
      <c r="O462" s="3">
        <v>196</v>
      </c>
      <c r="P462" s="3">
        <v>337</v>
      </c>
      <c r="Q462" s="3">
        <v>66</v>
      </c>
    </row>
    <row r="463" spans="2:17" s="6" customFormat="1" ht="9">
      <c r="B463" s="10" t="s">
        <v>160</v>
      </c>
      <c r="C463" s="7">
        <f>C462/21316</f>
        <v>0.07097954588102834</v>
      </c>
      <c r="D463" s="7">
        <f>D462/21316</f>
        <v>0.7895477575530119</v>
      </c>
      <c r="E463" s="7">
        <f>E462/21316</f>
        <v>0.09105835991743291</v>
      </c>
      <c r="F463" s="7">
        <f>F462/21316</f>
        <v>0.04841433664852693</v>
      </c>
      <c r="G463" s="7">
        <f aca="true" t="shared" si="76" ref="G463:M463">G462/43098</f>
        <v>0.15255928349343356</v>
      </c>
      <c r="H463" s="7">
        <f t="shared" si="76"/>
        <v>0.004942224697201726</v>
      </c>
      <c r="I463" s="7">
        <f t="shared" si="76"/>
        <v>0.18680681238108496</v>
      </c>
      <c r="J463" s="7">
        <f t="shared" si="76"/>
        <v>0.6351338809225486</v>
      </c>
      <c r="K463" s="7">
        <f t="shared" si="76"/>
        <v>0.011067798969789782</v>
      </c>
      <c r="L463" s="7">
        <f t="shared" si="76"/>
        <v>0.0041533249802775075</v>
      </c>
      <c r="M463" s="7">
        <f t="shared" si="76"/>
        <v>0.005336674555663836</v>
      </c>
      <c r="N463" s="7">
        <f>N462/477</f>
        <v>1</v>
      </c>
      <c r="O463" s="7">
        <f>O462/196</f>
        <v>1</v>
      </c>
      <c r="P463" s="7">
        <f>P462/337</f>
        <v>1</v>
      </c>
      <c r="Q463" s="7">
        <f>Q462/66</f>
        <v>1</v>
      </c>
    </row>
    <row r="464" spans="2:17" ht="4.5" customHeight="1">
      <c r="B464" s="11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</row>
    <row r="465" spans="1:17" ht="9">
      <c r="A465" s="5" t="s">
        <v>156</v>
      </c>
      <c r="B465" s="11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</row>
    <row r="466" spans="2:17" ht="9">
      <c r="B466" s="9" t="s">
        <v>143</v>
      </c>
      <c r="C466" s="3">
        <v>1638</v>
      </c>
      <c r="D466" s="3">
        <v>22122</v>
      </c>
      <c r="E466" s="3">
        <v>2106</v>
      </c>
      <c r="F466" s="3">
        <v>1303</v>
      </c>
      <c r="G466" s="3">
        <v>4340</v>
      </c>
      <c r="H466" s="3">
        <v>247</v>
      </c>
      <c r="I466" s="3">
        <v>5664</v>
      </c>
      <c r="J466" s="3">
        <v>16291</v>
      </c>
      <c r="K466" s="3">
        <v>248</v>
      </c>
      <c r="L466" s="3">
        <v>99</v>
      </c>
      <c r="M466" s="3">
        <v>213</v>
      </c>
      <c r="N466" s="3">
        <v>300</v>
      </c>
      <c r="O466" s="3">
        <v>223</v>
      </c>
      <c r="P466" s="3">
        <v>217</v>
      </c>
      <c r="Q466" s="3">
        <v>69</v>
      </c>
    </row>
    <row r="467" spans="1:17" ht="9">
      <c r="A467" s="4" t="s">
        <v>28</v>
      </c>
      <c r="C467" s="3">
        <v>1638</v>
      </c>
      <c r="D467" s="3">
        <v>22122</v>
      </c>
      <c r="E467" s="3">
        <v>2106</v>
      </c>
      <c r="F467" s="3">
        <v>1303</v>
      </c>
      <c r="G467" s="3">
        <v>4340</v>
      </c>
      <c r="H467" s="3">
        <v>247</v>
      </c>
      <c r="I467" s="3">
        <v>5664</v>
      </c>
      <c r="J467" s="3">
        <v>16291</v>
      </c>
      <c r="K467" s="3">
        <v>248</v>
      </c>
      <c r="L467" s="3">
        <v>99</v>
      </c>
      <c r="M467" s="3">
        <v>213</v>
      </c>
      <c r="N467" s="3">
        <v>300</v>
      </c>
      <c r="O467" s="3">
        <v>223</v>
      </c>
      <c r="P467" s="3">
        <v>217</v>
      </c>
      <c r="Q467" s="3">
        <v>69</v>
      </c>
    </row>
    <row r="468" spans="2:17" s="6" customFormat="1" ht="9">
      <c r="B468" s="10" t="s">
        <v>160</v>
      </c>
      <c r="C468" s="7">
        <f>C467/27169</f>
        <v>0.06028930030549523</v>
      </c>
      <c r="D468" s="7">
        <f>D467/27169</f>
        <v>0.8142368140159741</v>
      </c>
      <c r="E468" s="7">
        <f>E467/27169</f>
        <v>0.07751481467849387</v>
      </c>
      <c r="F468" s="7">
        <f>F467/27169</f>
        <v>0.04795907100003681</v>
      </c>
      <c r="G468" s="7">
        <f aca="true" t="shared" si="77" ref="G468:M468">G467/27102</f>
        <v>0.1601357833370231</v>
      </c>
      <c r="H468" s="7">
        <f t="shared" si="77"/>
        <v>0.009113718544756845</v>
      </c>
      <c r="I468" s="7">
        <f t="shared" si="77"/>
        <v>0.2089882665485942</v>
      </c>
      <c r="J468" s="7">
        <f t="shared" si="77"/>
        <v>0.6010995498487196</v>
      </c>
      <c r="K468" s="7">
        <f t="shared" si="77"/>
        <v>0.009150616190687034</v>
      </c>
      <c r="L468" s="7">
        <f t="shared" si="77"/>
        <v>0.0036528669470887757</v>
      </c>
      <c r="M468" s="7">
        <f t="shared" si="77"/>
        <v>0.007859198583130396</v>
      </c>
      <c r="N468" s="7">
        <f>N467/300</f>
        <v>1</v>
      </c>
      <c r="O468" s="7">
        <f>O467/223</f>
        <v>1</v>
      </c>
      <c r="P468" s="7">
        <f>P467/217</f>
        <v>1</v>
      </c>
      <c r="Q468" s="7">
        <f>Q467/69</f>
        <v>1</v>
      </c>
    </row>
    <row r="469" spans="2:17" ht="4.5" customHeight="1">
      <c r="B469" s="11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</row>
    <row r="470" spans="1:17" ht="9">
      <c r="A470" s="5" t="s">
        <v>157</v>
      </c>
      <c r="B470" s="11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</row>
    <row r="471" spans="2:17" ht="9">
      <c r="B471" s="9" t="s">
        <v>143</v>
      </c>
      <c r="C471" s="3">
        <v>1548</v>
      </c>
      <c r="D471" s="3">
        <v>13036</v>
      </c>
      <c r="E471" s="3">
        <v>1404</v>
      </c>
      <c r="F471" s="3">
        <v>614</v>
      </c>
      <c r="G471" s="3">
        <v>2264</v>
      </c>
      <c r="H471" s="3">
        <v>133</v>
      </c>
      <c r="I471" s="3">
        <v>3166</v>
      </c>
      <c r="J471" s="3">
        <v>7823</v>
      </c>
      <c r="K471" s="3">
        <v>149</v>
      </c>
      <c r="L471" s="3">
        <v>44</v>
      </c>
      <c r="M471" s="3">
        <v>214</v>
      </c>
      <c r="N471" s="3">
        <v>226</v>
      </c>
      <c r="O471" s="3">
        <v>112</v>
      </c>
      <c r="P471" s="3">
        <v>98</v>
      </c>
      <c r="Q471" s="3">
        <v>48</v>
      </c>
    </row>
    <row r="472" spans="1:17" ht="9">
      <c r="A472" s="4" t="s">
        <v>28</v>
      </c>
      <c r="C472" s="3">
        <v>1548</v>
      </c>
      <c r="D472" s="3">
        <v>13036</v>
      </c>
      <c r="E472" s="3">
        <v>1404</v>
      </c>
      <c r="F472" s="3">
        <v>614</v>
      </c>
      <c r="G472" s="3">
        <v>2264</v>
      </c>
      <c r="H472" s="3">
        <v>133</v>
      </c>
      <c r="I472" s="3">
        <v>3166</v>
      </c>
      <c r="J472" s="3">
        <v>7823</v>
      </c>
      <c r="K472" s="3">
        <v>149</v>
      </c>
      <c r="L472" s="3">
        <v>44</v>
      </c>
      <c r="M472" s="3">
        <v>214</v>
      </c>
      <c r="N472" s="3">
        <v>226</v>
      </c>
      <c r="O472" s="3">
        <v>112</v>
      </c>
      <c r="P472" s="3">
        <v>98</v>
      </c>
      <c r="Q472" s="3">
        <v>48</v>
      </c>
    </row>
    <row r="473" spans="2:17" s="6" customFormat="1" ht="9">
      <c r="B473" s="10" t="s">
        <v>160</v>
      </c>
      <c r="C473" s="7">
        <f>C472/16602</f>
        <v>0.09324177809902422</v>
      </c>
      <c r="D473" s="7">
        <f>D472/16602</f>
        <v>0.7852066016142634</v>
      </c>
      <c r="E473" s="7">
        <f>E472/16602</f>
        <v>0.0845681243223708</v>
      </c>
      <c r="F473" s="7">
        <f>F472/16602</f>
        <v>0.036983495964341646</v>
      </c>
      <c r="G473" s="7">
        <f aca="true" t="shared" si="78" ref="G473:M473">G472/13793</f>
        <v>0.16414123105923295</v>
      </c>
      <c r="H473" s="7">
        <f t="shared" si="78"/>
        <v>0.009642572319292395</v>
      </c>
      <c r="I473" s="7">
        <f t="shared" si="78"/>
        <v>0.22953672152541144</v>
      </c>
      <c r="J473" s="7">
        <f t="shared" si="78"/>
        <v>0.5671717537881534</v>
      </c>
      <c r="K473" s="7">
        <f t="shared" si="78"/>
        <v>0.010802581019357646</v>
      </c>
      <c r="L473" s="7">
        <f t="shared" si="78"/>
        <v>0.003190023925179439</v>
      </c>
      <c r="M473" s="7">
        <f t="shared" si="78"/>
        <v>0.015515116363372725</v>
      </c>
      <c r="N473" s="7">
        <f>N472/226</f>
        <v>1</v>
      </c>
      <c r="O473" s="7">
        <f>O472/112</f>
        <v>1</v>
      </c>
      <c r="P473" s="7">
        <v>1</v>
      </c>
      <c r="Q473" s="7">
        <f>Q472/48</f>
        <v>1</v>
      </c>
    </row>
    <row r="474" spans="2:17" ht="4.5" customHeight="1">
      <c r="B474" s="11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</row>
    <row r="475" spans="1:17" ht="9">
      <c r="A475" s="5" t="s">
        <v>159</v>
      </c>
      <c r="B475" s="11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</row>
    <row r="476" spans="2:17" ht="9">
      <c r="B476" s="9" t="s">
        <v>158</v>
      </c>
      <c r="C476" s="3">
        <v>837</v>
      </c>
      <c r="D476" s="3">
        <v>6822</v>
      </c>
      <c r="E476" s="3">
        <v>1542</v>
      </c>
      <c r="F476" s="3">
        <v>270</v>
      </c>
      <c r="G476" s="3">
        <v>1457</v>
      </c>
      <c r="H476" s="3">
        <v>63</v>
      </c>
      <c r="I476" s="3">
        <v>2223</v>
      </c>
      <c r="J476" s="3">
        <v>2016</v>
      </c>
      <c r="K476" s="3">
        <v>121</v>
      </c>
      <c r="L476" s="3">
        <v>18</v>
      </c>
      <c r="M476" s="3">
        <v>83</v>
      </c>
      <c r="N476" s="3">
        <v>137</v>
      </c>
      <c r="O476" s="3">
        <v>26</v>
      </c>
      <c r="P476" s="3">
        <v>33</v>
      </c>
      <c r="Q476" s="3">
        <v>5</v>
      </c>
    </row>
    <row r="477" spans="2:17" ht="9">
      <c r="B477" s="9" t="s">
        <v>139</v>
      </c>
      <c r="C477" s="3">
        <v>638</v>
      </c>
      <c r="D477" s="3">
        <v>11025</v>
      </c>
      <c r="E477" s="3">
        <v>999</v>
      </c>
      <c r="F477" s="3">
        <v>380</v>
      </c>
      <c r="G477" s="3">
        <v>1312</v>
      </c>
      <c r="H477" s="3">
        <v>48</v>
      </c>
      <c r="I477" s="3">
        <v>6247</v>
      </c>
      <c r="J477" s="3">
        <v>6516</v>
      </c>
      <c r="K477" s="3">
        <v>102</v>
      </c>
      <c r="L477" s="3">
        <v>25</v>
      </c>
      <c r="M477" s="3">
        <v>85</v>
      </c>
      <c r="N477" s="3">
        <v>146</v>
      </c>
      <c r="O477" s="3">
        <v>54</v>
      </c>
      <c r="P477" s="3">
        <v>63</v>
      </c>
      <c r="Q477" s="3">
        <v>11</v>
      </c>
    </row>
    <row r="478" spans="1:17" ht="9">
      <c r="A478" s="4" t="s">
        <v>28</v>
      </c>
      <c r="C478" s="3">
        <v>1475</v>
      </c>
      <c r="D478" s="3">
        <v>17847</v>
      </c>
      <c r="E478" s="3">
        <v>2541</v>
      </c>
      <c r="F478" s="3">
        <v>650</v>
      </c>
      <c r="G478" s="3">
        <v>2769</v>
      </c>
      <c r="H478" s="3">
        <v>111</v>
      </c>
      <c r="I478" s="3">
        <v>8470</v>
      </c>
      <c r="J478" s="3">
        <v>8532</v>
      </c>
      <c r="K478" s="3">
        <v>223</v>
      </c>
      <c r="L478" s="3">
        <v>43</v>
      </c>
      <c r="M478" s="3">
        <v>168</v>
      </c>
      <c r="N478" s="3">
        <v>283</v>
      </c>
      <c r="O478" s="3">
        <v>80</v>
      </c>
      <c r="P478" s="3">
        <v>96</v>
      </c>
      <c r="Q478" s="3">
        <v>16</v>
      </c>
    </row>
    <row r="479" spans="2:17" s="6" customFormat="1" ht="9">
      <c r="B479" s="10" t="s">
        <v>160</v>
      </c>
      <c r="C479" s="7">
        <f>C478/22513</f>
        <v>0.06551770088393373</v>
      </c>
      <c r="D479" s="7">
        <f>D478/22513</f>
        <v>0.792741971305468</v>
      </c>
      <c r="E479" s="7">
        <f>E478/22513</f>
        <v>0.1128681206414072</v>
      </c>
      <c r="F479" s="7">
        <f>F478/22513</f>
        <v>0.028872207169191134</v>
      </c>
      <c r="G479" s="7">
        <f aca="true" t="shared" si="79" ref="G479:M479">G478/20316</f>
        <v>0.1362965150620201</v>
      </c>
      <c r="H479" s="7">
        <f t="shared" si="79"/>
        <v>0.005463673951565269</v>
      </c>
      <c r="I479" s="7">
        <f t="shared" si="79"/>
        <v>0.41691277810592636</v>
      </c>
      <c r="J479" s="7">
        <f t="shared" si="79"/>
        <v>0.4199645599527466</v>
      </c>
      <c r="K479" s="7">
        <f t="shared" si="79"/>
        <v>0.010976570190982476</v>
      </c>
      <c r="L479" s="7">
        <f t="shared" si="79"/>
        <v>0.0021165583776333926</v>
      </c>
      <c r="M479" s="7">
        <f t="shared" si="79"/>
        <v>0.008269344359125812</v>
      </c>
      <c r="N479" s="7">
        <f>N478/283</f>
        <v>1</v>
      </c>
      <c r="O479" s="7">
        <f>O478/80</f>
        <v>1</v>
      </c>
      <c r="P479" s="7">
        <v>1</v>
      </c>
      <c r="Q479" s="7">
        <f>Q478/16</f>
        <v>1</v>
      </c>
    </row>
    <row r="480" spans="2:17" ht="4.5" customHeight="1">
      <c r="B480" s="11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</row>
    <row r="481" spans="2:17" ht="9">
      <c r="B481" s="11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</row>
  </sheetData>
  <printOptions/>
  <pageMargins left="0.8999999999999999" right="0.8999999999999999" top="1" bottom="0.8" header="0.3" footer="0.3"/>
  <pageSetup firstPageNumber="103" useFirstPageNumber="1" horizontalDpi="600" verticalDpi="600" orientation="portrait" pageOrder="overThenDown" r:id="rId1"/>
  <headerFooter alignWithMargins="0">
    <oddHeader>&amp;C&amp;"Arial,Bold"&amp;11Supplement to the Statement of Vote
Counties by Assembly Districts
for Governor</oddHeader>
    <oddFooter>&amp;C&amp;"Arial,Regular"&amp;8&amp;P</oddFooter>
  </headerFooter>
  <rowBreaks count="2" manualBreakCount="2">
    <brk id="289" max="255" man="1"/>
    <brk id="36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Charlene Castaneda</cp:lastModifiedBy>
  <cp:lastPrinted>2002-06-17T20:46:22Z</cp:lastPrinted>
  <dcterms:created xsi:type="dcterms:W3CDTF">2002-06-05T23:16:32Z</dcterms:created>
  <dcterms:modified xsi:type="dcterms:W3CDTF">2013-04-18T16:07:38Z</dcterms:modified>
  <cp:category/>
  <cp:version/>
  <cp:contentType/>
  <cp:contentStatus/>
</cp:coreProperties>
</file>