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 1" sheetId="1" r:id="rId1"/>
  </sheets>
  <definedNames>
    <definedName name="_xlnm.Print_Area" localSheetId="0">'Sheet 1'!$A$1:$Q$273</definedName>
    <definedName name="_xlnm.Print_Titles" localSheetId="0">'Sheet 1'!$A:$B,'Sheet 1'!$1:$2</definedName>
  </definedNames>
  <calcPr fullCalcOnLoad="1"/>
</workbook>
</file>

<file path=xl/sharedStrings.xml><?xml version="1.0" encoding="utf-8"?>
<sst xmlns="http://schemas.openxmlformats.org/spreadsheetml/2006/main" count="260" uniqueCount="121">
  <si>
    <t>Charles "Chuck" Pineda, Jr.</t>
  </si>
  <si>
    <t>Gray Davis</t>
  </si>
  <si>
    <t>Anselmo A. Chavez</t>
  </si>
  <si>
    <t>Mosemarie Boyd</t>
  </si>
  <si>
    <t>Bill Jones</t>
  </si>
  <si>
    <t>Danney Ball</t>
  </si>
  <si>
    <t>Richard J. Riordan</t>
  </si>
  <si>
    <t>Bill Simon</t>
  </si>
  <si>
    <t>Nick Jesson</t>
  </si>
  <si>
    <t>Jim Dimov</t>
  </si>
  <si>
    <t>Edie Bukewihge</t>
  </si>
  <si>
    <t>Reinhold Gulke</t>
  </si>
  <si>
    <t>Peter Miguel Camejo</t>
  </si>
  <si>
    <t>Gary David Copeland</t>
  </si>
  <si>
    <t>Iris Adam</t>
  </si>
  <si>
    <t>DEM</t>
  </si>
  <si>
    <t>REP</t>
  </si>
  <si>
    <t>AI</t>
  </si>
  <si>
    <t>GRN</t>
  </si>
  <si>
    <t>LIB</t>
  </si>
  <si>
    <t>NL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</si>
  <si>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</si>
  <si>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</si>
  <si>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</si>
  <si>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</si>
  <si>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</si>
  <si>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</si>
  <si>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</si>
  <si>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</si>
  <si>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</si>
  <si>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</si>
  <si>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</si>
  <si>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</si>
  <si>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</si>
  <si>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District Totals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</si>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</sst>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tabSelected="1" workbookViewId="0" topLeftCell="A1">
      <selection activeCell="V36" sqref="V36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16384" width="7.7109375" style="1" customWidth="1"/>
  </cols>
  <sheetData>
    <row r="1" spans="3:17" s="12" customFormat="1" ht="27"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</row>
    <row r="2" spans="3:17" s="14" customFormat="1" ht="9">
      <c r="C2" s="15" t="s">
        <v>15</v>
      </c>
      <c r="D2" s="15" t="s">
        <v>15</v>
      </c>
      <c r="E2" s="15" t="s">
        <v>15</v>
      </c>
      <c r="F2" s="15" t="s">
        <v>15</v>
      </c>
      <c r="G2" s="15" t="s">
        <v>16</v>
      </c>
      <c r="H2" s="15" t="s">
        <v>16</v>
      </c>
      <c r="I2" s="15" t="s">
        <v>16</v>
      </c>
      <c r="J2" s="15" t="s">
        <v>16</v>
      </c>
      <c r="K2" s="15" t="s">
        <v>16</v>
      </c>
      <c r="L2" s="15" t="s">
        <v>16</v>
      </c>
      <c r="M2" s="15" t="s">
        <v>16</v>
      </c>
      <c r="N2" s="15" t="s">
        <v>17</v>
      </c>
      <c r="O2" s="15" t="s">
        <v>18</v>
      </c>
      <c r="P2" s="15" t="s">
        <v>19</v>
      </c>
      <c r="Q2" s="15" t="s">
        <v>20</v>
      </c>
    </row>
    <row r="3" spans="1:17" ht="9">
      <c r="A3" s="5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">
      <c r="B4" s="9" t="s">
        <v>21</v>
      </c>
      <c r="C4" s="3">
        <v>12</v>
      </c>
      <c r="D4" s="3">
        <v>155</v>
      </c>
      <c r="E4" s="3">
        <v>12</v>
      </c>
      <c r="F4" s="3">
        <v>5</v>
      </c>
      <c r="G4" s="3">
        <v>72</v>
      </c>
      <c r="H4" s="3">
        <v>2</v>
      </c>
      <c r="I4" s="3">
        <v>53</v>
      </c>
      <c r="J4" s="3">
        <v>96</v>
      </c>
      <c r="K4" s="3">
        <v>8</v>
      </c>
      <c r="L4" s="3">
        <v>1</v>
      </c>
      <c r="M4" s="3">
        <v>2</v>
      </c>
      <c r="N4" s="3">
        <v>10</v>
      </c>
      <c r="O4" s="3">
        <v>4</v>
      </c>
      <c r="P4" s="3">
        <v>2</v>
      </c>
      <c r="Q4" s="3">
        <v>2</v>
      </c>
    </row>
    <row r="5" spans="2:17" ht="9">
      <c r="B5" s="9" t="s">
        <v>22</v>
      </c>
      <c r="C5" s="3">
        <v>296</v>
      </c>
      <c r="D5" s="3">
        <v>2701</v>
      </c>
      <c r="E5" s="3">
        <v>357</v>
      </c>
      <c r="F5" s="3">
        <v>228</v>
      </c>
      <c r="G5" s="3">
        <v>1417</v>
      </c>
      <c r="H5" s="3">
        <v>20</v>
      </c>
      <c r="I5" s="3">
        <v>1067</v>
      </c>
      <c r="J5" s="3">
        <v>2732</v>
      </c>
      <c r="K5" s="3">
        <v>33</v>
      </c>
      <c r="L5" s="3">
        <v>13</v>
      </c>
      <c r="M5" s="3">
        <v>25</v>
      </c>
      <c r="N5" s="3">
        <v>82</v>
      </c>
      <c r="O5" s="3">
        <v>31</v>
      </c>
      <c r="P5" s="3">
        <v>44</v>
      </c>
      <c r="Q5" s="3">
        <v>6</v>
      </c>
    </row>
    <row r="6" spans="2:17" ht="9">
      <c r="B6" s="9" t="s">
        <v>23</v>
      </c>
      <c r="C6" s="3">
        <v>342</v>
      </c>
      <c r="D6" s="3">
        <v>3314</v>
      </c>
      <c r="E6" s="3">
        <v>524</v>
      </c>
      <c r="F6" s="3">
        <v>203</v>
      </c>
      <c r="G6" s="3">
        <v>1789</v>
      </c>
      <c r="H6" s="3">
        <v>71</v>
      </c>
      <c r="I6" s="3">
        <v>1097</v>
      </c>
      <c r="J6" s="3">
        <v>3430</v>
      </c>
      <c r="K6" s="3">
        <v>57</v>
      </c>
      <c r="L6" s="3">
        <v>13</v>
      </c>
      <c r="M6" s="3">
        <v>54</v>
      </c>
      <c r="N6" s="3">
        <v>111</v>
      </c>
      <c r="O6" s="3">
        <v>91</v>
      </c>
      <c r="P6" s="3">
        <v>116</v>
      </c>
      <c r="Q6" s="3">
        <v>14</v>
      </c>
    </row>
    <row r="7" spans="2:17" ht="9">
      <c r="B7" s="9" t="s">
        <v>24</v>
      </c>
      <c r="C7" s="3">
        <v>1132</v>
      </c>
      <c r="D7" s="3">
        <v>9333</v>
      </c>
      <c r="E7" s="3">
        <v>1465</v>
      </c>
      <c r="F7" s="3">
        <v>790</v>
      </c>
      <c r="G7" s="3">
        <v>5715</v>
      </c>
      <c r="H7" s="3">
        <v>138</v>
      </c>
      <c r="I7" s="3">
        <v>5765</v>
      </c>
      <c r="J7" s="3">
        <v>13306</v>
      </c>
      <c r="K7" s="3">
        <v>157</v>
      </c>
      <c r="L7" s="3">
        <v>42</v>
      </c>
      <c r="M7" s="3">
        <v>145</v>
      </c>
      <c r="N7" s="3">
        <v>353</v>
      </c>
      <c r="O7" s="3">
        <v>227</v>
      </c>
      <c r="P7" s="3">
        <v>213</v>
      </c>
      <c r="Q7" s="3">
        <v>9</v>
      </c>
    </row>
    <row r="8" spans="2:17" ht="9">
      <c r="B8" s="9" t="s">
        <v>25</v>
      </c>
      <c r="C8" s="3">
        <v>268</v>
      </c>
      <c r="D8" s="3">
        <v>1833</v>
      </c>
      <c r="E8" s="3">
        <v>304</v>
      </c>
      <c r="F8" s="3">
        <v>164</v>
      </c>
      <c r="G8" s="3">
        <v>1086</v>
      </c>
      <c r="H8" s="3">
        <v>40</v>
      </c>
      <c r="I8" s="3">
        <v>848</v>
      </c>
      <c r="J8" s="3">
        <v>1686</v>
      </c>
      <c r="K8" s="3">
        <v>128</v>
      </c>
      <c r="L8" s="3">
        <v>17</v>
      </c>
      <c r="M8" s="3">
        <v>64</v>
      </c>
      <c r="N8" s="3">
        <v>118</v>
      </c>
      <c r="O8" s="3">
        <v>20</v>
      </c>
      <c r="P8" s="3">
        <v>24</v>
      </c>
      <c r="Q8" s="3">
        <v>4</v>
      </c>
    </row>
    <row r="9" spans="2:17" ht="9">
      <c r="B9" s="9" t="s">
        <v>26</v>
      </c>
      <c r="C9" s="3">
        <v>146</v>
      </c>
      <c r="D9" s="3">
        <v>703</v>
      </c>
      <c r="E9" s="3">
        <v>113</v>
      </c>
      <c r="F9" s="3">
        <v>64</v>
      </c>
      <c r="G9" s="3">
        <v>632</v>
      </c>
      <c r="H9" s="3">
        <v>20</v>
      </c>
      <c r="I9" s="3">
        <v>280</v>
      </c>
      <c r="J9" s="3">
        <v>666</v>
      </c>
      <c r="K9" s="3">
        <v>54</v>
      </c>
      <c r="L9" s="3">
        <v>6</v>
      </c>
      <c r="M9" s="3">
        <v>27</v>
      </c>
      <c r="N9" s="3">
        <v>37</v>
      </c>
      <c r="O9" s="3">
        <v>11</v>
      </c>
      <c r="P9" s="3">
        <v>17</v>
      </c>
      <c r="Q9" s="3">
        <v>0</v>
      </c>
    </row>
    <row r="10" spans="2:17" ht="9">
      <c r="B10" s="9" t="s">
        <v>27</v>
      </c>
      <c r="C10" s="3">
        <v>35</v>
      </c>
      <c r="D10" s="3">
        <v>612</v>
      </c>
      <c r="E10" s="3">
        <v>84</v>
      </c>
      <c r="F10" s="3">
        <v>31</v>
      </c>
      <c r="G10" s="3">
        <v>237</v>
      </c>
      <c r="H10" s="3">
        <v>14</v>
      </c>
      <c r="I10" s="3">
        <v>420</v>
      </c>
      <c r="J10" s="3">
        <v>572</v>
      </c>
      <c r="K10" s="3">
        <v>24</v>
      </c>
      <c r="L10" s="3">
        <v>3</v>
      </c>
      <c r="M10" s="3">
        <v>10</v>
      </c>
      <c r="N10" s="3">
        <v>28</v>
      </c>
      <c r="O10" s="3">
        <v>21</v>
      </c>
      <c r="P10" s="3">
        <v>12</v>
      </c>
      <c r="Q10" s="3">
        <v>1</v>
      </c>
    </row>
    <row r="11" spans="2:17" ht="9">
      <c r="B11" s="9" t="s">
        <v>28</v>
      </c>
      <c r="C11" s="3">
        <v>86</v>
      </c>
      <c r="D11" s="3">
        <v>1031</v>
      </c>
      <c r="E11" s="3">
        <v>109</v>
      </c>
      <c r="F11" s="3">
        <v>61</v>
      </c>
      <c r="G11" s="3">
        <v>421</v>
      </c>
      <c r="H11" s="3">
        <v>9</v>
      </c>
      <c r="I11" s="3">
        <v>455</v>
      </c>
      <c r="J11" s="3">
        <v>1038</v>
      </c>
      <c r="K11" s="3">
        <v>12</v>
      </c>
      <c r="L11" s="3">
        <v>5</v>
      </c>
      <c r="M11" s="3">
        <v>14</v>
      </c>
      <c r="N11" s="3">
        <v>38</v>
      </c>
      <c r="O11" s="3">
        <v>70</v>
      </c>
      <c r="P11" s="3">
        <v>30</v>
      </c>
      <c r="Q11" s="3">
        <v>0</v>
      </c>
    </row>
    <row r="12" spans="2:17" ht="9">
      <c r="B12" s="9" t="s">
        <v>29</v>
      </c>
      <c r="C12" s="3">
        <v>865</v>
      </c>
      <c r="D12" s="3">
        <v>9903</v>
      </c>
      <c r="E12" s="3">
        <v>1230</v>
      </c>
      <c r="F12" s="3">
        <v>624</v>
      </c>
      <c r="G12" s="3">
        <v>5586</v>
      </c>
      <c r="H12" s="3">
        <v>152</v>
      </c>
      <c r="I12" s="3">
        <v>6804</v>
      </c>
      <c r="J12" s="3">
        <v>14571</v>
      </c>
      <c r="K12" s="3">
        <v>128</v>
      </c>
      <c r="L12" s="3">
        <v>36</v>
      </c>
      <c r="M12" s="3">
        <v>151</v>
      </c>
      <c r="N12" s="3">
        <v>184</v>
      </c>
      <c r="O12" s="3">
        <v>117</v>
      </c>
      <c r="P12" s="3">
        <v>147</v>
      </c>
      <c r="Q12" s="3">
        <v>16</v>
      </c>
    </row>
    <row r="13" spans="2:17" ht="9">
      <c r="B13" s="9" t="s">
        <v>30</v>
      </c>
      <c r="C13" s="3">
        <v>272</v>
      </c>
      <c r="D13" s="3">
        <v>1760</v>
      </c>
      <c r="E13" s="3">
        <v>234</v>
      </c>
      <c r="F13" s="3">
        <v>114</v>
      </c>
      <c r="G13" s="3">
        <v>977</v>
      </c>
      <c r="H13" s="3">
        <v>22</v>
      </c>
      <c r="I13" s="3">
        <v>709</v>
      </c>
      <c r="J13" s="3">
        <v>1806</v>
      </c>
      <c r="K13" s="3">
        <v>37</v>
      </c>
      <c r="L13" s="3">
        <v>10</v>
      </c>
      <c r="M13" s="3">
        <v>27</v>
      </c>
      <c r="N13" s="3">
        <v>62</v>
      </c>
      <c r="O13" s="3">
        <v>21</v>
      </c>
      <c r="P13" s="3">
        <v>30</v>
      </c>
      <c r="Q13" s="3">
        <v>4</v>
      </c>
    </row>
    <row r="14" spans="2:17" ht="9">
      <c r="B14" s="9" t="s">
        <v>31</v>
      </c>
      <c r="C14" s="3">
        <v>2202</v>
      </c>
      <c r="D14" s="3">
        <v>20522</v>
      </c>
      <c r="E14" s="3">
        <v>2948</v>
      </c>
      <c r="F14" s="3">
        <v>1748</v>
      </c>
      <c r="G14" s="3">
        <v>10701</v>
      </c>
      <c r="H14" s="3">
        <v>214</v>
      </c>
      <c r="I14" s="3">
        <v>12252</v>
      </c>
      <c r="J14" s="3">
        <v>24721</v>
      </c>
      <c r="K14" s="3">
        <v>278</v>
      </c>
      <c r="L14" s="3">
        <v>82</v>
      </c>
      <c r="M14" s="3">
        <v>214</v>
      </c>
      <c r="N14" s="3">
        <v>401</v>
      </c>
      <c r="O14" s="3">
        <v>274</v>
      </c>
      <c r="P14" s="3">
        <v>253</v>
      </c>
      <c r="Q14" s="3">
        <v>19</v>
      </c>
    </row>
    <row r="15" spans="2:17" ht="9">
      <c r="B15" s="9" t="s">
        <v>32</v>
      </c>
      <c r="C15" s="3">
        <v>42</v>
      </c>
      <c r="D15" s="3">
        <v>328</v>
      </c>
      <c r="E15" s="3">
        <v>67</v>
      </c>
      <c r="F15" s="3">
        <v>34</v>
      </c>
      <c r="G15" s="3">
        <v>227</v>
      </c>
      <c r="H15" s="3">
        <v>1</v>
      </c>
      <c r="I15" s="3">
        <v>115</v>
      </c>
      <c r="J15" s="3">
        <v>315</v>
      </c>
      <c r="K15" s="3">
        <v>8</v>
      </c>
      <c r="L15" s="3">
        <v>0</v>
      </c>
      <c r="M15" s="3">
        <v>11</v>
      </c>
      <c r="N15" s="3">
        <v>18</v>
      </c>
      <c r="O15" s="3">
        <v>12</v>
      </c>
      <c r="P15" s="3">
        <v>14</v>
      </c>
      <c r="Q15" s="3">
        <v>0</v>
      </c>
    </row>
    <row r="16" spans="1:17" ht="9">
      <c r="A16" s="4" t="s">
        <v>34</v>
      </c>
      <c r="C16" s="3">
        <v>5698</v>
      </c>
      <c r="D16" s="3">
        <v>52195</v>
      </c>
      <c r="E16" s="3">
        <v>7447</v>
      </c>
      <c r="F16" s="3">
        <v>4066</v>
      </c>
      <c r="G16" s="3">
        <v>28860</v>
      </c>
      <c r="H16" s="3">
        <v>703</v>
      </c>
      <c r="I16" s="3">
        <v>29865</v>
      </c>
      <c r="J16" s="3">
        <v>64939</v>
      </c>
      <c r="K16" s="3">
        <v>924</v>
      </c>
      <c r="L16" s="3">
        <v>228</v>
      </c>
      <c r="M16" s="3">
        <v>744</v>
      </c>
      <c r="N16" s="3">
        <v>1442</v>
      </c>
      <c r="O16" s="3">
        <v>899</v>
      </c>
      <c r="P16" s="3">
        <v>902</v>
      </c>
      <c r="Q16" s="3">
        <v>75</v>
      </c>
    </row>
    <row r="17" spans="2:17" s="6" customFormat="1" ht="9">
      <c r="B17" s="10" t="s">
        <v>120</v>
      </c>
      <c r="C17" s="7">
        <f>C16/69406</f>
        <v>0.08209664870472294</v>
      </c>
      <c r="D17" s="7">
        <f>D16/69406</f>
        <v>0.7520243206639196</v>
      </c>
      <c r="E17" s="7">
        <f>E16/69406</f>
        <v>0.10729619917586376</v>
      </c>
      <c r="F17" s="7">
        <f>F16/69406</f>
        <v>0.05858283145549376</v>
      </c>
      <c r="G17" s="7">
        <f aca="true" t="shared" si="0" ref="G17:M17">G16/126263</f>
        <v>0.22857052343125064</v>
      </c>
      <c r="H17" s="7">
        <f t="shared" si="0"/>
        <v>0.005567743519479183</v>
      </c>
      <c r="I17" s="7">
        <f t="shared" si="0"/>
        <v>0.23653009987090437</v>
      </c>
      <c r="J17" s="7">
        <f t="shared" si="0"/>
        <v>0.5143153576265415</v>
      </c>
      <c r="K17" s="7">
        <f t="shared" si="0"/>
        <v>0.007318058338547318</v>
      </c>
      <c r="L17" s="7">
        <f t="shared" si="0"/>
        <v>0.0018057546549662214</v>
      </c>
      <c r="M17" s="7">
        <f t="shared" si="0"/>
        <v>0.0058924625583108275</v>
      </c>
      <c r="N17" s="7">
        <f>N16/1442</f>
        <v>1</v>
      </c>
      <c r="O17" s="7">
        <f>O16/899</f>
        <v>1</v>
      </c>
      <c r="P17" s="7">
        <v>1</v>
      </c>
      <c r="Q17" s="7">
        <f>Q16/75</f>
        <v>1</v>
      </c>
    </row>
    <row r="18" spans="2:17" ht="4.5" customHeight="1">
      <c r="B18" s="1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9">
      <c r="A19" s="5" t="s">
        <v>41</v>
      </c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9">
      <c r="B20" s="9" t="s">
        <v>35</v>
      </c>
      <c r="C20" s="3">
        <v>982</v>
      </c>
      <c r="D20" s="3">
        <v>11122</v>
      </c>
      <c r="E20" s="3">
        <v>1417</v>
      </c>
      <c r="F20" s="3">
        <v>587</v>
      </c>
      <c r="G20" s="3">
        <v>1936</v>
      </c>
      <c r="H20" s="3">
        <v>122</v>
      </c>
      <c r="I20" s="3">
        <v>2590</v>
      </c>
      <c r="J20" s="3">
        <v>7362</v>
      </c>
      <c r="K20" s="3">
        <v>205</v>
      </c>
      <c r="L20" s="3">
        <v>46</v>
      </c>
      <c r="M20" s="3">
        <v>108</v>
      </c>
      <c r="N20" s="3">
        <v>210</v>
      </c>
      <c r="O20" s="3">
        <v>1632</v>
      </c>
      <c r="P20" s="3">
        <v>206</v>
      </c>
      <c r="Q20" s="3">
        <v>18</v>
      </c>
    </row>
    <row r="21" spans="2:17" ht="9">
      <c r="B21" s="9" t="s">
        <v>36</v>
      </c>
      <c r="C21" s="3">
        <v>345</v>
      </c>
      <c r="D21" s="3">
        <v>4457</v>
      </c>
      <c r="E21" s="3">
        <v>480</v>
      </c>
      <c r="F21" s="3">
        <v>227</v>
      </c>
      <c r="G21" s="3">
        <v>1095</v>
      </c>
      <c r="H21" s="3">
        <v>44</v>
      </c>
      <c r="I21" s="3">
        <v>970</v>
      </c>
      <c r="J21" s="3">
        <v>2746</v>
      </c>
      <c r="K21" s="3">
        <v>62</v>
      </c>
      <c r="L21" s="3">
        <v>21</v>
      </c>
      <c r="M21" s="3">
        <v>54</v>
      </c>
      <c r="N21" s="3">
        <v>98</v>
      </c>
      <c r="O21" s="3">
        <v>112</v>
      </c>
      <c r="P21" s="3">
        <v>52</v>
      </c>
      <c r="Q21" s="3">
        <v>6</v>
      </c>
    </row>
    <row r="22" spans="2:17" ht="9">
      <c r="B22" s="9" t="s">
        <v>37</v>
      </c>
      <c r="C22" s="3">
        <v>644</v>
      </c>
      <c r="D22" s="3">
        <v>7311</v>
      </c>
      <c r="E22" s="3">
        <v>1146</v>
      </c>
      <c r="F22" s="3">
        <v>504</v>
      </c>
      <c r="G22" s="3">
        <v>1447</v>
      </c>
      <c r="H22" s="3">
        <v>116</v>
      </c>
      <c r="I22" s="3">
        <v>1764</v>
      </c>
      <c r="J22" s="3">
        <v>3201</v>
      </c>
      <c r="K22" s="3">
        <v>84</v>
      </c>
      <c r="L22" s="3">
        <v>36</v>
      </c>
      <c r="M22" s="3">
        <v>71</v>
      </c>
      <c r="N22" s="3">
        <v>135</v>
      </c>
      <c r="O22" s="3">
        <v>908</v>
      </c>
      <c r="P22" s="3">
        <v>119</v>
      </c>
      <c r="Q22" s="3">
        <v>20</v>
      </c>
    </row>
    <row r="23" spans="2:17" ht="9">
      <c r="B23" s="9" t="s">
        <v>38</v>
      </c>
      <c r="C23" s="3">
        <v>1053</v>
      </c>
      <c r="D23" s="3">
        <v>9550</v>
      </c>
      <c r="E23" s="3">
        <v>961</v>
      </c>
      <c r="F23" s="3">
        <v>540</v>
      </c>
      <c r="G23" s="3">
        <v>2147</v>
      </c>
      <c r="H23" s="3">
        <v>92</v>
      </c>
      <c r="I23" s="3">
        <v>2506</v>
      </c>
      <c r="J23" s="3">
        <v>6153</v>
      </c>
      <c r="K23" s="3">
        <v>120</v>
      </c>
      <c r="L23" s="3">
        <v>63</v>
      </c>
      <c r="M23" s="3">
        <v>93</v>
      </c>
      <c r="N23" s="3">
        <v>204</v>
      </c>
      <c r="O23" s="3">
        <v>217</v>
      </c>
      <c r="P23" s="3">
        <v>117</v>
      </c>
      <c r="Q23" s="3">
        <v>16</v>
      </c>
    </row>
    <row r="24" spans="2:17" ht="9">
      <c r="B24" s="9" t="s">
        <v>39</v>
      </c>
      <c r="C24" s="3">
        <v>918</v>
      </c>
      <c r="D24" s="3">
        <v>10917</v>
      </c>
      <c r="E24" s="3">
        <v>992</v>
      </c>
      <c r="F24" s="3">
        <v>471</v>
      </c>
      <c r="G24" s="3">
        <v>1452</v>
      </c>
      <c r="H24" s="3">
        <v>77</v>
      </c>
      <c r="I24" s="3">
        <v>1975</v>
      </c>
      <c r="J24" s="3">
        <v>4577</v>
      </c>
      <c r="K24" s="3">
        <v>71</v>
      </c>
      <c r="L24" s="3">
        <v>41</v>
      </c>
      <c r="M24" s="3">
        <v>55</v>
      </c>
      <c r="N24" s="3">
        <v>103</v>
      </c>
      <c r="O24" s="3">
        <v>144</v>
      </c>
      <c r="P24" s="3">
        <v>75</v>
      </c>
      <c r="Q24" s="3">
        <v>6</v>
      </c>
    </row>
    <row r="25" spans="2:17" ht="9">
      <c r="B25" s="9" t="s">
        <v>40</v>
      </c>
      <c r="C25" s="3">
        <v>2701</v>
      </c>
      <c r="D25" s="3">
        <v>30035</v>
      </c>
      <c r="E25" s="3">
        <v>3633</v>
      </c>
      <c r="F25" s="3">
        <v>1804</v>
      </c>
      <c r="G25" s="3">
        <v>4068</v>
      </c>
      <c r="H25" s="3">
        <v>273</v>
      </c>
      <c r="I25" s="3">
        <v>7365</v>
      </c>
      <c r="J25" s="3">
        <v>13131</v>
      </c>
      <c r="K25" s="3">
        <v>283</v>
      </c>
      <c r="L25" s="3">
        <v>110</v>
      </c>
      <c r="M25" s="3">
        <v>261</v>
      </c>
      <c r="N25" s="3">
        <v>463</v>
      </c>
      <c r="O25" s="3">
        <v>1598</v>
      </c>
      <c r="P25" s="3">
        <v>364</v>
      </c>
      <c r="Q25" s="3">
        <v>52</v>
      </c>
    </row>
    <row r="26" spans="1:17" ht="9">
      <c r="A26" s="4" t="s">
        <v>34</v>
      </c>
      <c r="C26" s="3">
        <v>6643</v>
      </c>
      <c r="D26" s="3">
        <v>73392</v>
      </c>
      <c r="E26" s="3">
        <v>8629</v>
      </c>
      <c r="F26" s="3">
        <v>4133</v>
      </c>
      <c r="G26" s="3">
        <v>12145</v>
      </c>
      <c r="H26" s="3">
        <v>724</v>
      </c>
      <c r="I26" s="3">
        <v>17170</v>
      </c>
      <c r="J26" s="3">
        <v>37170</v>
      </c>
      <c r="K26" s="3">
        <v>825</v>
      </c>
      <c r="L26" s="3">
        <v>317</v>
      </c>
      <c r="M26" s="3">
        <v>642</v>
      </c>
      <c r="N26" s="3">
        <v>1213</v>
      </c>
      <c r="O26" s="3">
        <v>4611</v>
      </c>
      <c r="P26" s="3">
        <v>933</v>
      </c>
      <c r="Q26" s="3">
        <v>118</v>
      </c>
    </row>
    <row r="27" spans="2:17" s="6" customFormat="1" ht="9">
      <c r="B27" s="10" t="s">
        <v>120</v>
      </c>
      <c r="C27" s="7">
        <f>C26/92797</f>
        <v>0.07158636593855405</v>
      </c>
      <c r="D27" s="7">
        <f>D26/92797</f>
        <v>0.7908876364537647</v>
      </c>
      <c r="E27" s="7">
        <f>E26/92797</f>
        <v>0.09298791986809918</v>
      </c>
      <c r="F27" s="7">
        <f>F26/92797</f>
        <v>0.0445380777395821</v>
      </c>
      <c r="G27" s="7">
        <f aca="true" t="shared" si="1" ref="G27:M27">G26/68993</f>
        <v>0.17603235110808343</v>
      </c>
      <c r="H27" s="7">
        <f t="shared" si="1"/>
        <v>0.010493818213441943</v>
      </c>
      <c r="I27" s="7">
        <f t="shared" si="1"/>
        <v>0.24886582696795326</v>
      </c>
      <c r="J27" s="7">
        <f t="shared" si="1"/>
        <v>0.5387503080022611</v>
      </c>
      <c r="K27" s="7">
        <f t="shared" si="1"/>
        <v>0.011957734842665197</v>
      </c>
      <c r="L27" s="7">
        <f t="shared" si="1"/>
        <v>0.004594669024393779</v>
      </c>
      <c r="M27" s="7">
        <f t="shared" si="1"/>
        <v>0.00930529184120128</v>
      </c>
      <c r="N27" s="7">
        <f>N26/1213</f>
        <v>1</v>
      </c>
      <c r="O27" s="7">
        <f>O26/4611</f>
        <v>1</v>
      </c>
      <c r="P27" s="7">
        <v>1</v>
      </c>
      <c r="Q27" s="7">
        <f>Q26/118</f>
        <v>1</v>
      </c>
    </row>
    <row r="28" spans="2:17" ht="4.5" customHeight="1"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9">
      <c r="A29" s="5" t="s">
        <v>44</v>
      </c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9">
      <c r="B30" s="9" t="s">
        <v>42</v>
      </c>
      <c r="C30" s="3">
        <v>1505</v>
      </c>
      <c r="D30" s="3">
        <v>25333</v>
      </c>
      <c r="E30" s="3">
        <v>2202</v>
      </c>
      <c r="F30" s="3">
        <v>1167</v>
      </c>
      <c r="G30" s="3">
        <v>2553</v>
      </c>
      <c r="H30" s="3">
        <v>139</v>
      </c>
      <c r="I30" s="3">
        <v>7924</v>
      </c>
      <c r="J30" s="3">
        <v>10095</v>
      </c>
      <c r="K30" s="3">
        <v>109</v>
      </c>
      <c r="L30" s="3">
        <v>28</v>
      </c>
      <c r="M30" s="3">
        <v>92</v>
      </c>
      <c r="N30" s="3">
        <v>204</v>
      </c>
      <c r="O30" s="3">
        <v>1040</v>
      </c>
      <c r="P30" s="3">
        <v>225</v>
      </c>
      <c r="Q30" s="3">
        <v>33</v>
      </c>
    </row>
    <row r="31" spans="2:17" ht="9">
      <c r="B31" s="9" t="s">
        <v>43</v>
      </c>
      <c r="C31" s="3">
        <v>1614</v>
      </c>
      <c r="D31" s="3">
        <v>41235</v>
      </c>
      <c r="E31" s="3">
        <v>3218</v>
      </c>
      <c r="F31" s="3">
        <v>1784</v>
      </c>
      <c r="G31" s="3">
        <v>1203</v>
      </c>
      <c r="H31" s="3">
        <v>97</v>
      </c>
      <c r="I31" s="3">
        <v>5059</v>
      </c>
      <c r="J31" s="3">
        <v>4432</v>
      </c>
      <c r="K31" s="3">
        <v>95</v>
      </c>
      <c r="L31" s="3">
        <v>47</v>
      </c>
      <c r="M31" s="3">
        <v>63</v>
      </c>
      <c r="N31" s="3">
        <v>264</v>
      </c>
      <c r="O31" s="3">
        <v>2629</v>
      </c>
      <c r="P31" s="3">
        <v>302</v>
      </c>
      <c r="Q31" s="3">
        <v>48</v>
      </c>
    </row>
    <row r="32" spans="2:17" ht="9">
      <c r="B32" s="9" t="s">
        <v>40</v>
      </c>
      <c r="C32" s="3">
        <v>1384</v>
      </c>
      <c r="D32" s="3">
        <v>15861</v>
      </c>
      <c r="E32" s="3">
        <v>1829</v>
      </c>
      <c r="F32" s="3">
        <v>1076</v>
      </c>
      <c r="G32" s="3">
        <v>2423</v>
      </c>
      <c r="H32" s="3">
        <v>112</v>
      </c>
      <c r="I32" s="3">
        <v>3565</v>
      </c>
      <c r="J32" s="3">
        <v>7707</v>
      </c>
      <c r="K32" s="3">
        <v>161</v>
      </c>
      <c r="L32" s="3">
        <v>54</v>
      </c>
      <c r="M32" s="3">
        <v>135</v>
      </c>
      <c r="N32" s="3">
        <v>216</v>
      </c>
      <c r="O32" s="3">
        <v>743</v>
      </c>
      <c r="P32" s="3">
        <v>196</v>
      </c>
      <c r="Q32" s="3">
        <v>35</v>
      </c>
    </row>
    <row r="33" spans="1:17" ht="9">
      <c r="A33" s="4" t="s">
        <v>34</v>
      </c>
      <c r="C33" s="3">
        <v>4503</v>
      </c>
      <c r="D33" s="3">
        <v>82429</v>
      </c>
      <c r="E33" s="3">
        <v>7249</v>
      </c>
      <c r="F33" s="3">
        <v>4027</v>
      </c>
      <c r="G33" s="3">
        <v>6179</v>
      </c>
      <c r="H33" s="3">
        <v>348</v>
      </c>
      <c r="I33" s="3">
        <v>16548</v>
      </c>
      <c r="J33" s="3">
        <v>22234</v>
      </c>
      <c r="K33" s="3">
        <v>365</v>
      </c>
      <c r="L33" s="3">
        <v>129</v>
      </c>
      <c r="M33" s="3">
        <v>290</v>
      </c>
      <c r="N33" s="3">
        <v>684</v>
      </c>
      <c r="O33" s="3">
        <v>4412</v>
      </c>
      <c r="P33" s="3">
        <v>723</v>
      </c>
      <c r="Q33" s="3">
        <v>116</v>
      </c>
    </row>
    <row r="34" spans="2:17" s="6" customFormat="1" ht="9">
      <c r="B34" s="10" t="s">
        <v>120</v>
      </c>
      <c r="C34" s="7">
        <f>C33/98208</f>
        <v>0.045851661779081135</v>
      </c>
      <c r="D34" s="7">
        <f>D33/98208</f>
        <v>0.8393308080808081</v>
      </c>
      <c r="E34" s="7">
        <f>E33/98208</f>
        <v>0.07381272401433692</v>
      </c>
      <c r="F34" s="7">
        <f>F33/98208</f>
        <v>0.04100480612577387</v>
      </c>
      <c r="G34" s="7">
        <f aca="true" t="shared" si="2" ref="G34:M34">G33/46093</f>
        <v>0.13405506259084893</v>
      </c>
      <c r="H34" s="7">
        <f t="shared" si="2"/>
        <v>0.007549953355173237</v>
      </c>
      <c r="I34" s="7">
        <f t="shared" si="2"/>
        <v>0.3590132991994446</v>
      </c>
      <c r="J34" s="7">
        <f t="shared" si="2"/>
        <v>0.48237259453713144</v>
      </c>
      <c r="K34" s="7">
        <f t="shared" si="2"/>
        <v>0.007918772915627101</v>
      </c>
      <c r="L34" s="7">
        <f t="shared" si="2"/>
        <v>0.0027986896057969756</v>
      </c>
      <c r="M34" s="7">
        <f t="shared" si="2"/>
        <v>0.006291627795977697</v>
      </c>
      <c r="N34" s="7">
        <f>N33/684</f>
        <v>1</v>
      </c>
      <c r="O34" s="7">
        <f>O33/4412</f>
        <v>1</v>
      </c>
      <c r="P34" s="7">
        <v>1</v>
      </c>
      <c r="Q34" s="7">
        <f>Q33/116</f>
        <v>1</v>
      </c>
    </row>
    <row r="35" spans="2:17" ht="4.5" customHeight="1"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9">
      <c r="A36" s="5" t="s">
        <v>55</v>
      </c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9">
      <c r="B37" s="9" t="s">
        <v>45</v>
      </c>
      <c r="C37" s="3">
        <v>1736</v>
      </c>
      <c r="D37" s="3">
        <v>13498</v>
      </c>
      <c r="E37" s="3">
        <v>1573</v>
      </c>
      <c r="F37" s="3">
        <v>873</v>
      </c>
      <c r="G37" s="3">
        <v>6847</v>
      </c>
      <c r="H37" s="3">
        <v>155</v>
      </c>
      <c r="I37" s="3">
        <v>4091</v>
      </c>
      <c r="J37" s="3">
        <v>15120</v>
      </c>
      <c r="K37" s="3">
        <v>226</v>
      </c>
      <c r="L37" s="3">
        <v>38</v>
      </c>
      <c r="M37" s="3">
        <v>191</v>
      </c>
      <c r="N37" s="3">
        <v>418</v>
      </c>
      <c r="O37" s="3">
        <v>744</v>
      </c>
      <c r="P37" s="3">
        <v>231</v>
      </c>
      <c r="Q37" s="3">
        <v>32</v>
      </c>
    </row>
    <row r="38" spans="2:17" ht="9">
      <c r="B38" s="9" t="s">
        <v>46</v>
      </c>
      <c r="C38" s="3">
        <v>154</v>
      </c>
      <c r="D38" s="3">
        <v>1007</v>
      </c>
      <c r="E38" s="3">
        <v>209</v>
      </c>
      <c r="F38" s="3">
        <v>147</v>
      </c>
      <c r="G38" s="3">
        <v>743</v>
      </c>
      <c r="H38" s="3">
        <v>16</v>
      </c>
      <c r="I38" s="3">
        <v>475</v>
      </c>
      <c r="J38" s="3">
        <v>1163</v>
      </c>
      <c r="K38" s="3">
        <v>17</v>
      </c>
      <c r="L38" s="3">
        <v>6</v>
      </c>
      <c r="M38" s="3">
        <v>23</v>
      </c>
      <c r="N38" s="3">
        <v>56</v>
      </c>
      <c r="O38" s="3">
        <v>11</v>
      </c>
      <c r="P38" s="3">
        <v>18</v>
      </c>
      <c r="Q38" s="3">
        <v>1</v>
      </c>
    </row>
    <row r="39" spans="2:17" ht="9">
      <c r="B39" s="9" t="s">
        <v>47</v>
      </c>
      <c r="C39" s="3">
        <v>204</v>
      </c>
      <c r="D39" s="3">
        <v>1594</v>
      </c>
      <c r="E39" s="3">
        <v>272</v>
      </c>
      <c r="F39" s="3">
        <v>150</v>
      </c>
      <c r="G39" s="3">
        <v>613</v>
      </c>
      <c r="H39" s="3">
        <v>46</v>
      </c>
      <c r="I39" s="3">
        <v>437</v>
      </c>
      <c r="J39" s="3">
        <v>1274</v>
      </c>
      <c r="K39" s="3">
        <v>58</v>
      </c>
      <c r="L39" s="3">
        <v>16</v>
      </c>
      <c r="M39" s="3">
        <v>48</v>
      </c>
      <c r="N39" s="3">
        <v>61</v>
      </c>
      <c r="O39" s="3">
        <v>25</v>
      </c>
      <c r="P39" s="3">
        <v>30</v>
      </c>
      <c r="Q39" s="3">
        <v>6</v>
      </c>
    </row>
    <row r="40" spans="2:17" ht="9">
      <c r="B40" s="9" t="s">
        <v>48</v>
      </c>
      <c r="C40" s="3">
        <v>179</v>
      </c>
      <c r="D40" s="3">
        <v>1127</v>
      </c>
      <c r="E40" s="3">
        <v>204</v>
      </c>
      <c r="F40" s="3">
        <v>117</v>
      </c>
      <c r="G40" s="3">
        <v>927</v>
      </c>
      <c r="H40" s="3">
        <v>20</v>
      </c>
      <c r="I40" s="3">
        <v>351</v>
      </c>
      <c r="J40" s="3">
        <v>1662</v>
      </c>
      <c r="K40" s="3">
        <v>33</v>
      </c>
      <c r="L40" s="3">
        <v>10</v>
      </c>
      <c r="M40" s="3">
        <v>33</v>
      </c>
      <c r="N40" s="3">
        <v>34</v>
      </c>
      <c r="O40" s="3">
        <v>9</v>
      </c>
      <c r="P40" s="3">
        <v>10</v>
      </c>
      <c r="Q40" s="3">
        <v>1</v>
      </c>
    </row>
    <row r="41" spans="2:17" ht="9">
      <c r="B41" s="9" t="s">
        <v>28</v>
      </c>
      <c r="C41" s="3">
        <v>615</v>
      </c>
      <c r="D41" s="3">
        <v>6048</v>
      </c>
      <c r="E41" s="3">
        <v>723</v>
      </c>
      <c r="F41" s="3">
        <v>360</v>
      </c>
      <c r="G41" s="3">
        <v>3144</v>
      </c>
      <c r="H41" s="3">
        <v>82</v>
      </c>
      <c r="I41" s="3">
        <v>3186</v>
      </c>
      <c r="J41" s="3">
        <v>8580</v>
      </c>
      <c r="K41" s="3">
        <v>87</v>
      </c>
      <c r="L41" s="3">
        <v>16</v>
      </c>
      <c r="M41" s="3">
        <v>84</v>
      </c>
      <c r="N41" s="3">
        <v>154</v>
      </c>
      <c r="O41" s="3">
        <v>585</v>
      </c>
      <c r="P41" s="3">
        <v>133</v>
      </c>
      <c r="Q41" s="3">
        <v>12</v>
      </c>
    </row>
    <row r="42" spans="2:17" ht="9">
      <c r="B42" s="9" t="s">
        <v>29</v>
      </c>
      <c r="C42" s="3">
        <v>547</v>
      </c>
      <c r="D42" s="3">
        <v>5085</v>
      </c>
      <c r="E42" s="3">
        <v>725</v>
      </c>
      <c r="F42" s="3">
        <v>363</v>
      </c>
      <c r="G42" s="3">
        <v>3504</v>
      </c>
      <c r="H42" s="3">
        <v>59</v>
      </c>
      <c r="I42" s="3">
        <v>3532</v>
      </c>
      <c r="J42" s="3">
        <v>8741</v>
      </c>
      <c r="K42" s="3">
        <v>76</v>
      </c>
      <c r="L42" s="3">
        <v>19</v>
      </c>
      <c r="M42" s="3">
        <v>73</v>
      </c>
      <c r="N42" s="3">
        <v>103</v>
      </c>
      <c r="O42" s="3">
        <v>78</v>
      </c>
      <c r="P42" s="3">
        <v>73</v>
      </c>
      <c r="Q42" s="3">
        <v>7</v>
      </c>
    </row>
    <row r="43" spans="2:17" ht="9">
      <c r="B43" s="9" t="s">
        <v>49</v>
      </c>
      <c r="C43" s="3">
        <v>1075</v>
      </c>
      <c r="D43" s="3">
        <v>8854</v>
      </c>
      <c r="E43" s="3">
        <v>1401</v>
      </c>
      <c r="F43" s="3">
        <v>823</v>
      </c>
      <c r="G43" s="3">
        <v>5640</v>
      </c>
      <c r="H43" s="3">
        <v>172</v>
      </c>
      <c r="I43" s="3">
        <v>3133</v>
      </c>
      <c r="J43" s="3">
        <v>12311</v>
      </c>
      <c r="K43" s="3">
        <v>447</v>
      </c>
      <c r="L43" s="3">
        <v>69</v>
      </c>
      <c r="M43" s="3">
        <v>204</v>
      </c>
      <c r="N43" s="3">
        <v>292</v>
      </c>
      <c r="O43" s="3">
        <v>120</v>
      </c>
      <c r="P43" s="3">
        <v>152</v>
      </c>
      <c r="Q43" s="3">
        <v>9</v>
      </c>
    </row>
    <row r="44" spans="2:17" ht="9">
      <c r="B44" s="9" t="s">
        <v>50</v>
      </c>
      <c r="C44" s="3">
        <v>473</v>
      </c>
      <c r="D44" s="3">
        <v>2972</v>
      </c>
      <c r="E44" s="3">
        <v>569</v>
      </c>
      <c r="F44" s="3">
        <v>278</v>
      </c>
      <c r="G44" s="3">
        <v>2166</v>
      </c>
      <c r="H44" s="3">
        <v>80</v>
      </c>
      <c r="I44" s="3">
        <v>1408</v>
      </c>
      <c r="J44" s="3">
        <v>2577</v>
      </c>
      <c r="K44" s="3">
        <v>147</v>
      </c>
      <c r="L44" s="3">
        <v>14</v>
      </c>
      <c r="M44" s="3">
        <v>98</v>
      </c>
      <c r="N44" s="3">
        <v>137</v>
      </c>
      <c r="O44" s="3">
        <v>66</v>
      </c>
      <c r="P44" s="3">
        <v>96</v>
      </c>
      <c r="Q44" s="3">
        <v>25</v>
      </c>
    </row>
    <row r="45" spans="2:17" ht="9">
      <c r="B45" s="9" t="s">
        <v>51</v>
      </c>
      <c r="C45" s="3">
        <v>374</v>
      </c>
      <c r="D45" s="3">
        <v>2826</v>
      </c>
      <c r="E45" s="3">
        <v>555</v>
      </c>
      <c r="F45" s="3">
        <v>318</v>
      </c>
      <c r="G45" s="3">
        <v>2316</v>
      </c>
      <c r="H45" s="3">
        <v>46</v>
      </c>
      <c r="I45" s="3">
        <v>1330</v>
      </c>
      <c r="J45" s="3">
        <v>5063</v>
      </c>
      <c r="K45" s="3">
        <v>64</v>
      </c>
      <c r="L45" s="3">
        <v>13</v>
      </c>
      <c r="M45" s="3">
        <v>51</v>
      </c>
      <c r="N45" s="3">
        <v>76</v>
      </c>
      <c r="O45" s="3">
        <v>22</v>
      </c>
      <c r="P45" s="3">
        <v>33</v>
      </c>
      <c r="Q45" s="3">
        <v>3</v>
      </c>
    </row>
    <row r="46" spans="2:17" ht="9">
      <c r="B46" s="9" t="s">
        <v>52</v>
      </c>
      <c r="C46" s="3">
        <v>476</v>
      </c>
      <c r="D46" s="3">
        <v>3704</v>
      </c>
      <c r="E46" s="3">
        <v>561</v>
      </c>
      <c r="F46" s="3">
        <v>376</v>
      </c>
      <c r="G46" s="3">
        <v>2069</v>
      </c>
      <c r="H46" s="3">
        <v>67</v>
      </c>
      <c r="I46" s="3">
        <v>977</v>
      </c>
      <c r="J46" s="3">
        <v>3930</v>
      </c>
      <c r="K46" s="3">
        <v>114</v>
      </c>
      <c r="L46" s="3">
        <v>29</v>
      </c>
      <c r="M46" s="3">
        <v>74</v>
      </c>
      <c r="N46" s="3">
        <v>214</v>
      </c>
      <c r="O46" s="3">
        <v>26</v>
      </c>
      <c r="P46" s="3">
        <v>72</v>
      </c>
      <c r="Q46" s="3">
        <v>11</v>
      </c>
    </row>
    <row r="47" spans="2:17" ht="9">
      <c r="B47" s="9" t="s">
        <v>53</v>
      </c>
      <c r="C47" s="3">
        <v>158</v>
      </c>
      <c r="D47" s="3">
        <v>1265</v>
      </c>
      <c r="E47" s="3">
        <v>222</v>
      </c>
      <c r="F47" s="3">
        <v>110</v>
      </c>
      <c r="G47" s="3">
        <v>601</v>
      </c>
      <c r="H47" s="3">
        <v>40</v>
      </c>
      <c r="I47" s="3">
        <v>378</v>
      </c>
      <c r="J47" s="3">
        <v>927</v>
      </c>
      <c r="K47" s="3">
        <v>51</v>
      </c>
      <c r="L47" s="3">
        <v>15</v>
      </c>
      <c r="M47" s="3">
        <v>37</v>
      </c>
      <c r="N47" s="3">
        <v>81</v>
      </c>
      <c r="O47" s="3">
        <v>56</v>
      </c>
      <c r="P47" s="3">
        <v>53</v>
      </c>
      <c r="Q47" s="3">
        <v>7</v>
      </c>
    </row>
    <row r="48" spans="2:17" ht="9">
      <c r="B48" s="9" t="s">
        <v>54</v>
      </c>
      <c r="C48" s="3">
        <v>465</v>
      </c>
      <c r="D48" s="3">
        <v>2439</v>
      </c>
      <c r="E48" s="3">
        <v>383</v>
      </c>
      <c r="F48" s="3">
        <v>207</v>
      </c>
      <c r="G48" s="3">
        <v>1364</v>
      </c>
      <c r="H48" s="3">
        <v>34</v>
      </c>
      <c r="I48" s="3">
        <v>849</v>
      </c>
      <c r="J48" s="3">
        <v>2927</v>
      </c>
      <c r="K48" s="3">
        <v>50</v>
      </c>
      <c r="L48" s="3">
        <v>6</v>
      </c>
      <c r="M48" s="3">
        <v>35</v>
      </c>
      <c r="N48" s="3">
        <v>116</v>
      </c>
      <c r="O48" s="3">
        <v>36</v>
      </c>
      <c r="P48" s="3">
        <v>46</v>
      </c>
      <c r="Q48" s="3">
        <v>4</v>
      </c>
    </row>
    <row r="49" spans="1:17" ht="9">
      <c r="A49" s="4" t="s">
        <v>34</v>
      </c>
      <c r="C49" s="3">
        <v>6456</v>
      </c>
      <c r="D49" s="3">
        <v>50419</v>
      </c>
      <c r="E49" s="3">
        <v>7397</v>
      </c>
      <c r="F49" s="3">
        <v>4122</v>
      </c>
      <c r="G49" s="3">
        <v>29934</v>
      </c>
      <c r="H49" s="3">
        <v>817</v>
      </c>
      <c r="I49" s="3">
        <v>20147</v>
      </c>
      <c r="J49" s="3">
        <v>64275</v>
      </c>
      <c r="K49" s="3">
        <v>1370</v>
      </c>
      <c r="L49" s="3">
        <v>251</v>
      </c>
      <c r="M49" s="3">
        <v>951</v>
      </c>
      <c r="N49" s="3">
        <v>1742</v>
      </c>
      <c r="O49" s="3">
        <v>1778</v>
      </c>
      <c r="P49" s="3">
        <v>947</v>
      </c>
      <c r="Q49" s="3">
        <v>118</v>
      </c>
    </row>
    <row r="50" spans="2:17" s="6" customFormat="1" ht="9">
      <c r="B50" s="10" t="s">
        <v>120</v>
      </c>
      <c r="C50" s="7">
        <f>C49/68394</f>
        <v>0.0943942451092201</v>
      </c>
      <c r="D50" s="7">
        <f>D49/68394</f>
        <v>0.7371845483521946</v>
      </c>
      <c r="E50" s="7">
        <f>E49/68394</f>
        <v>0.10815276193818171</v>
      </c>
      <c r="F50" s="7">
        <f>F49/68394</f>
        <v>0.060268444600403544</v>
      </c>
      <c r="G50" s="7">
        <f aca="true" t="shared" si="3" ref="G50:M50">G49/117745</f>
        <v>0.2542273557263578</v>
      </c>
      <c r="H50" s="7">
        <f t="shared" si="3"/>
        <v>0.006938723512675698</v>
      </c>
      <c r="I50" s="7">
        <f t="shared" si="3"/>
        <v>0.17110705337806276</v>
      </c>
      <c r="J50" s="7">
        <f t="shared" si="3"/>
        <v>0.5458830523589112</v>
      </c>
      <c r="K50" s="7">
        <f t="shared" si="3"/>
        <v>0.011635313601426812</v>
      </c>
      <c r="L50" s="7">
        <f t="shared" si="3"/>
        <v>0.0021317253386555694</v>
      </c>
      <c r="M50" s="7">
        <f t="shared" si="3"/>
        <v>0.008076776083910145</v>
      </c>
      <c r="N50" s="7">
        <f>N49/1742</f>
        <v>1</v>
      </c>
      <c r="O50" s="7">
        <f>O49/1778</f>
        <v>1</v>
      </c>
      <c r="P50" s="7">
        <v>1</v>
      </c>
      <c r="Q50" s="7">
        <f>Q49/118</f>
        <v>1</v>
      </c>
    </row>
    <row r="51" spans="2:17" ht="4.5" customHeight="1"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9">
      <c r="A52" s="5" t="s">
        <v>58</v>
      </c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9">
      <c r="B53" s="9" t="s">
        <v>31</v>
      </c>
      <c r="C53" s="3">
        <v>174</v>
      </c>
      <c r="D53" s="3">
        <v>1748</v>
      </c>
      <c r="E53" s="3">
        <v>217</v>
      </c>
      <c r="F53" s="3">
        <v>116</v>
      </c>
      <c r="G53" s="3">
        <v>629</v>
      </c>
      <c r="H53" s="3">
        <v>12</v>
      </c>
      <c r="I53" s="3">
        <v>636</v>
      </c>
      <c r="J53" s="3">
        <v>1381</v>
      </c>
      <c r="K53" s="3">
        <v>15</v>
      </c>
      <c r="L53" s="3">
        <v>4</v>
      </c>
      <c r="M53" s="3">
        <v>13</v>
      </c>
      <c r="N53" s="3">
        <v>27</v>
      </c>
      <c r="O53" s="3">
        <v>17</v>
      </c>
      <c r="P53" s="3">
        <v>16</v>
      </c>
      <c r="Q53" s="3">
        <v>1</v>
      </c>
    </row>
    <row r="54" spans="2:17" ht="9">
      <c r="B54" s="9" t="s">
        <v>56</v>
      </c>
      <c r="C54" s="3">
        <v>1637</v>
      </c>
      <c r="D54" s="3">
        <v>21851</v>
      </c>
      <c r="E54" s="3">
        <v>2356</v>
      </c>
      <c r="F54" s="3">
        <v>1031</v>
      </c>
      <c r="G54" s="3">
        <v>6208</v>
      </c>
      <c r="H54" s="3">
        <v>172</v>
      </c>
      <c r="I54" s="3">
        <v>4622</v>
      </c>
      <c r="J54" s="3">
        <v>12711</v>
      </c>
      <c r="K54" s="3">
        <v>193</v>
      </c>
      <c r="L54" s="3">
        <v>41</v>
      </c>
      <c r="M54" s="3">
        <v>211</v>
      </c>
      <c r="N54" s="3">
        <v>276</v>
      </c>
      <c r="O54" s="3">
        <v>138</v>
      </c>
      <c r="P54" s="3">
        <v>139</v>
      </c>
      <c r="Q54" s="3">
        <v>17</v>
      </c>
    </row>
    <row r="55" spans="2:17" ht="9">
      <c r="B55" s="9" t="s">
        <v>39</v>
      </c>
      <c r="C55" s="3">
        <v>959</v>
      </c>
      <c r="D55" s="3">
        <v>13005</v>
      </c>
      <c r="E55" s="3">
        <v>1665</v>
      </c>
      <c r="F55" s="3">
        <v>624</v>
      </c>
      <c r="G55" s="3">
        <v>2974</v>
      </c>
      <c r="H55" s="3">
        <v>159</v>
      </c>
      <c r="I55" s="3">
        <v>3145</v>
      </c>
      <c r="J55" s="3">
        <v>8297</v>
      </c>
      <c r="K55" s="3">
        <v>129</v>
      </c>
      <c r="L55" s="3">
        <v>67</v>
      </c>
      <c r="M55" s="3">
        <v>103</v>
      </c>
      <c r="N55" s="3">
        <v>234</v>
      </c>
      <c r="O55" s="3">
        <v>91</v>
      </c>
      <c r="P55" s="3">
        <v>106</v>
      </c>
      <c r="Q55" s="3">
        <v>6</v>
      </c>
    </row>
    <row r="56" spans="2:17" ht="9">
      <c r="B56" s="9" t="s">
        <v>57</v>
      </c>
      <c r="C56" s="3">
        <v>815</v>
      </c>
      <c r="D56" s="3">
        <v>13006</v>
      </c>
      <c r="E56" s="3">
        <v>1748</v>
      </c>
      <c r="F56" s="3">
        <v>823</v>
      </c>
      <c r="G56" s="3">
        <v>3052</v>
      </c>
      <c r="H56" s="3">
        <v>99</v>
      </c>
      <c r="I56" s="3">
        <v>3604</v>
      </c>
      <c r="J56" s="3">
        <v>6060</v>
      </c>
      <c r="K56" s="3">
        <v>91</v>
      </c>
      <c r="L56" s="3">
        <v>35</v>
      </c>
      <c r="M56" s="3">
        <v>74</v>
      </c>
      <c r="N56" s="3">
        <v>196</v>
      </c>
      <c r="O56" s="3">
        <v>601</v>
      </c>
      <c r="P56" s="3">
        <v>120</v>
      </c>
      <c r="Q56" s="3">
        <v>23</v>
      </c>
    </row>
    <row r="57" spans="1:17" ht="9">
      <c r="A57" s="4" t="s">
        <v>34</v>
      </c>
      <c r="C57" s="3">
        <v>3585</v>
      </c>
      <c r="D57" s="3">
        <v>49610</v>
      </c>
      <c r="E57" s="3">
        <v>5986</v>
      </c>
      <c r="F57" s="3">
        <v>2594</v>
      </c>
      <c r="G57" s="3">
        <v>12863</v>
      </c>
      <c r="H57" s="3">
        <v>442</v>
      </c>
      <c r="I57" s="3">
        <v>12007</v>
      </c>
      <c r="J57" s="3">
        <v>28449</v>
      </c>
      <c r="K57" s="3">
        <v>428</v>
      </c>
      <c r="L57" s="3">
        <v>147</v>
      </c>
      <c r="M57" s="3">
        <v>401</v>
      </c>
      <c r="N57" s="3">
        <v>733</v>
      </c>
      <c r="O57" s="3">
        <v>847</v>
      </c>
      <c r="P57" s="3">
        <v>381</v>
      </c>
      <c r="Q57" s="3">
        <v>47</v>
      </c>
    </row>
    <row r="58" spans="2:17" s="6" customFormat="1" ht="9">
      <c r="B58" s="10" t="s">
        <v>120</v>
      </c>
      <c r="C58" s="7">
        <f>C57/61775</f>
        <v>0.058033184945366245</v>
      </c>
      <c r="D58" s="7">
        <f>D57/61775</f>
        <v>0.8030756778632133</v>
      </c>
      <c r="E58" s="7">
        <f>E57/61775</f>
        <v>0.09690004046944557</v>
      </c>
      <c r="F58" s="7">
        <f>F57/61775</f>
        <v>0.04199109672197491</v>
      </c>
      <c r="G58" s="7">
        <f aca="true" t="shared" si="4" ref="G58:M58">G57/54737</f>
        <v>0.2349964375102764</v>
      </c>
      <c r="H58" s="7">
        <f t="shared" si="4"/>
        <v>0.008074976706797962</v>
      </c>
      <c r="I58" s="7">
        <f t="shared" si="4"/>
        <v>0.2193580210826315</v>
      </c>
      <c r="J58" s="7">
        <f t="shared" si="4"/>
        <v>0.5197398469042878</v>
      </c>
      <c r="K58" s="7">
        <f t="shared" si="4"/>
        <v>0.00781920821382246</v>
      </c>
      <c r="L58" s="7">
        <f t="shared" si="4"/>
        <v>0.002685569176242761</v>
      </c>
      <c r="M58" s="7">
        <f t="shared" si="4"/>
        <v>0.007325940405941137</v>
      </c>
      <c r="N58" s="7">
        <f>N57/733</f>
        <v>1</v>
      </c>
      <c r="O58" s="7">
        <f>O57/847</f>
        <v>1</v>
      </c>
      <c r="P58" s="7">
        <v>1</v>
      </c>
      <c r="Q58" s="7">
        <f>Q57/47</f>
        <v>1</v>
      </c>
    </row>
    <row r="59" spans="2:17" ht="4.5" customHeight="1"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9">
      <c r="A60" s="5" t="s">
        <v>59</v>
      </c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9">
      <c r="B61" s="9" t="s">
        <v>31</v>
      </c>
      <c r="C61" s="3">
        <v>4367</v>
      </c>
      <c r="D61" s="3">
        <v>48504</v>
      </c>
      <c r="E61" s="3">
        <v>6000</v>
      </c>
      <c r="F61" s="3">
        <v>3233</v>
      </c>
      <c r="G61" s="3">
        <v>12458</v>
      </c>
      <c r="H61" s="3">
        <v>312</v>
      </c>
      <c r="I61" s="3">
        <v>12618</v>
      </c>
      <c r="J61" s="3">
        <v>26804</v>
      </c>
      <c r="K61" s="3">
        <v>376</v>
      </c>
      <c r="L61" s="3">
        <v>104</v>
      </c>
      <c r="M61" s="3">
        <v>439</v>
      </c>
      <c r="N61" s="3">
        <v>707</v>
      </c>
      <c r="O61" s="3">
        <v>912</v>
      </c>
      <c r="P61" s="3">
        <v>381</v>
      </c>
      <c r="Q61" s="3">
        <v>59</v>
      </c>
    </row>
    <row r="62" spans="1:17" ht="9">
      <c r="A62" s="4" t="s">
        <v>34</v>
      </c>
      <c r="C62" s="3">
        <v>4367</v>
      </c>
      <c r="D62" s="3">
        <v>48504</v>
      </c>
      <c r="E62" s="3">
        <v>6000</v>
      </c>
      <c r="F62" s="3">
        <v>3233</v>
      </c>
      <c r="G62" s="3">
        <v>12458</v>
      </c>
      <c r="H62" s="3">
        <v>312</v>
      </c>
      <c r="I62" s="3">
        <v>12618</v>
      </c>
      <c r="J62" s="3">
        <v>26804</v>
      </c>
      <c r="K62" s="3">
        <v>376</v>
      </c>
      <c r="L62" s="3">
        <v>104</v>
      </c>
      <c r="M62" s="3">
        <v>439</v>
      </c>
      <c r="N62" s="3">
        <v>707</v>
      </c>
      <c r="O62" s="3">
        <v>912</v>
      </c>
      <c r="P62" s="3">
        <v>381</v>
      </c>
      <c r="Q62" s="3">
        <v>59</v>
      </c>
    </row>
    <row r="63" spans="2:17" s="6" customFormat="1" ht="9">
      <c r="B63" s="10" t="s">
        <v>120</v>
      </c>
      <c r="C63" s="7">
        <f>C62/62104</f>
        <v>0.07031753188200437</v>
      </c>
      <c r="D63" s="7">
        <f>D62/62104</f>
        <v>0.7810124951693933</v>
      </c>
      <c r="E63" s="7">
        <f>E62/62104</f>
        <v>0.0966121344840912</v>
      </c>
      <c r="F63" s="7">
        <f>F62/62104</f>
        <v>0.05205783846451114</v>
      </c>
      <c r="G63" s="7">
        <f aca="true" t="shared" si="5" ref="G63:M63">G62/53111</f>
        <v>0.23456534427896292</v>
      </c>
      <c r="H63" s="7">
        <f t="shared" si="5"/>
        <v>0.00587448927717422</v>
      </c>
      <c r="I63" s="7">
        <f t="shared" si="5"/>
        <v>0.23757790288264202</v>
      </c>
      <c r="J63" s="7">
        <f t="shared" si="5"/>
        <v>0.5046788800813391</v>
      </c>
      <c r="K63" s="7">
        <f t="shared" si="5"/>
        <v>0.007079512718645855</v>
      </c>
      <c r="L63" s="7">
        <f t="shared" si="5"/>
        <v>0.0019581630923914068</v>
      </c>
      <c r="M63" s="7">
        <f t="shared" si="5"/>
        <v>0.008265707668844496</v>
      </c>
      <c r="N63" s="7">
        <f>N62/707</f>
        <v>1</v>
      </c>
      <c r="O63" s="7">
        <f>O62/912</f>
        <v>1</v>
      </c>
      <c r="P63" s="7">
        <f>P62/381</f>
        <v>1</v>
      </c>
      <c r="Q63" s="7">
        <f>Q62/59</f>
        <v>1</v>
      </c>
    </row>
    <row r="64" spans="2:17" ht="4.5" customHeight="1"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9">
      <c r="A65" s="5" t="s">
        <v>61</v>
      </c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9">
      <c r="B66" s="9" t="s">
        <v>60</v>
      </c>
      <c r="C66" s="3">
        <v>5388</v>
      </c>
      <c r="D66" s="3">
        <v>66296</v>
      </c>
      <c r="E66" s="3">
        <v>5483</v>
      </c>
      <c r="F66" s="3">
        <v>2847</v>
      </c>
      <c r="G66" s="3">
        <v>13269</v>
      </c>
      <c r="H66" s="3">
        <v>460</v>
      </c>
      <c r="I66" s="3">
        <v>19225</v>
      </c>
      <c r="J66" s="3">
        <v>39705</v>
      </c>
      <c r="K66" s="3">
        <v>396</v>
      </c>
      <c r="L66" s="3">
        <v>180</v>
      </c>
      <c r="M66" s="3">
        <v>375</v>
      </c>
      <c r="N66" s="3">
        <v>850</v>
      </c>
      <c r="O66" s="3">
        <v>993</v>
      </c>
      <c r="P66" s="3">
        <v>630</v>
      </c>
      <c r="Q66" s="3">
        <v>126</v>
      </c>
    </row>
    <row r="67" spans="1:17" ht="9">
      <c r="A67" s="4" t="s">
        <v>34</v>
      </c>
      <c r="C67" s="3">
        <v>5388</v>
      </c>
      <c r="D67" s="3">
        <v>66296</v>
      </c>
      <c r="E67" s="3">
        <v>5483</v>
      </c>
      <c r="F67" s="3">
        <v>2847</v>
      </c>
      <c r="G67" s="3">
        <v>13269</v>
      </c>
      <c r="H67" s="3">
        <v>460</v>
      </c>
      <c r="I67" s="3">
        <v>19225</v>
      </c>
      <c r="J67" s="3">
        <v>39705</v>
      </c>
      <c r="K67" s="3">
        <v>396</v>
      </c>
      <c r="L67" s="3">
        <v>180</v>
      </c>
      <c r="M67" s="3">
        <v>375</v>
      </c>
      <c r="N67" s="3">
        <v>850</v>
      </c>
      <c r="O67" s="3">
        <v>993</v>
      </c>
      <c r="P67" s="3">
        <v>630</v>
      </c>
      <c r="Q67" s="3">
        <v>126</v>
      </c>
    </row>
    <row r="68" spans="2:17" s="6" customFormat="1" ht="9">
      <c r="B68" s="10" t="s">
        <v>120</v>
      </c>
      <c r="C68" s="7">
        <f>C67/80014</f>
        <v>0.06733821581223286</v>
      </c>
      <c r="D68" s="7">
        <f>D67/80014</f>
        <v>0.828555002874497</v>
      </c>
      <c r="E68" s="7">
        <f>E67/80014</f>
        <v>0.06852550803609368</v>
      </c>
      <c r="F68" s="7">
        <f>F67/80014</f>
        <v>0.035581273277176494</v>
      </c>
      <c r="G68" s="7">
        <f aca="true" t="shared" si="6" ref="G68:M68">G67/73610</f>
        <v>0.18026083412579813</v>
      </c>
      <c r="H68" s="7">
        <f t="shared" si="6"/>
        <v>0.0062491509305800845</v>
      </c>
      <c r="I68" s="7">
        <f t="shared" si="6"/>
        <v>0.26117375356609157</v>
      </c>
      <c r="J68" s="7">
        <f t="shared" si="6"/>
        <v>0.5393968210840918</v>
      </c>
      <c r="K68" s="7">
        <f t="shared" si="6"/>
        <v>0.005379703844586334</v>
      </c>
      <c r="L68" s="7">
        <f t="shared" si="6"/>
        <v>0.0024453199293574244</v>
      </c>
      <c r="M68" s="7">
        <f t="shared" si="6"/>
        <v>0.005094416519494634</v>
      </c>
      <c r="N68" s="7">
        <f>N67/850</f>
        <v>1</v>
      </c>
      <c r="O68" s="7">
        <f>O67/993</f>
        <v>1</v>
      </c>
      <c r="P68" s="7">
        <v>1</v>
      </c>
      <c r="Q68" s="7">
        <f>Q67/126</f>
        <v>1</v>
      </c>
    </row>
    <row r="69" spans="2:17" ht="4.5" customHeight="1"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9">
      <c r="A70" s="5" t="s">
        <v>63</v>
      </c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9">
      <c r="B71" s="9" t="s">
        <v>43</v>
      </c>
      <c r="C71" s="3">
        <v>1318</v>
      </c>
      <c r="D71" s="3">
        <v>34033</v>
      </c>
      <c r="E71" s="3">
        <v>2299</v>
      </c>
      <c r="F71" s="3">
        <v>1167</v>
      </c>
      <c r="G71" s="3">
        <v>1851</v>
      </c>
      <c r="H71" s="3">
        <v>64</v>
      </c>
      <c r="I71" s="3">
        <v>4523</v>
      </c>
      <c r="J71" s="3">
        <v>5877</v>
      </c>
      <c r="K71" s="3">
        <v>97</v>
      </c>
      <c r="L71" s="3">
        <v>29</v>
      </c>
      <c r="M71" s="3">
        <v>62</v>
      </c>
      <c r="N71" s="3">
        <v>211</v>
      </c>
      <c r="O71" s="3">
        <v>1134</v>
      </c>
      <c r="P71" s="3">
        <v>192</v>
      </c>
      <c r="Q71" s="3">
        <v>32</v>
      </c>
    </row>
    <row r="72" spans="2:17" ht="9">
      <c r="B72" s="9" t="s">
        <v>62</v>
      </c>
      <c r="C72" s="3">
        <v>2902</v>
      </c>
      <c r="D72" s="3">
        <v>36837</v>
      </c>
      <c r="E72" s="3">
        <v>2729</v>
      </c>
      <c r="F72" s="3">
        <v>1440</v>
      </c>
      <c r="G72" s="3">
        <v>3959</v>
      </c>
      <c r="H72" s="3">
        <v>158</v>
      </c>
      <c r="I72" s="3">
        <v>8241</v>
      </c>
      <c r="J72" s="3">
        <v>13808</v>
      </c>
      <c r="K72" s="3">
        <v>138</v>
      </c>
      <c r="L72" s="3">
        <v>49</v>
      </c>
      <c r="M72" s="3">
        <v>131</v>
      </c>
      <c r="N72" s="3">
        <v>318</v>
      </c>
      <c r="O72" s="3">
        <v>568</v>
      </c>
      <c r="P72" s="3">
        <v>282</v>
      </c>
      <c r="Q72" s="3">
        <v>34</v>
      </c>
    </row>
    <row r="73" spans="1:17" ht="9">
      <c r="A73" s="4" t="s">
        <v>34</v>
      </c>
      <c r="C73" s="3">
        <v>4220</v>
      </c>
      <c r="D73" s="3">
        <v>70870</v>
      </c>
      <c r="E73" s="3">
        <v>5028</v>
      </c>
      <c r="F73" s="3">
        <v>2607</v>
      </c>
      <c r="G73" s="3">
        <v>5810</v>
      </c>
      <c r="H73" s="3">
        <v>222</v>
      </c>
      <c r="I73" s="3">
        <v>12764</v>
      </c>
      <c r="J73" s="3">
        <v>19685</v>
      </c>
      <c r="K73" s="3">
        <v>235</v>
      </c>
      <c r="L73" s="3">
        <v>78</v>
      </c>
      <c r="M73" s="3">
        <v>193</v>
      </c>
      <c r="N73" s="3">
        <v>529</v>
      </c>
      <c r="O73" s="3">
        <v>1702</v>
      </c>
      <c r="P73" s="3">
        <v>474</v>
      </c>
      <c r="Q73" s="3">
        <v>66</v>
      </c>
    </row>
    <row r="74" spans="2:17" s="6" customFormat="1" ht="9">
      <c r="B74" s="10" t="s">
        <v>120</v>
      </c>
      <c r="C74" s="7">
        <f>C73/82725</f>
        <v>0.0510123904502871</v>
      </c>
      <c r="D74" s="7">
        <f>D73/82725</f>
        <v>0.8566938652160774</v>
      </c>
      <c r="E74" s="7">
        <f>E73/82725</f>
        <v>0.060779691749773344</v>
      </c>
      <c r="F74" s="7">
        <f>F73/82725</f>
        <v>0.031514052583862195</v>
      </c>
      <c r="G74" s="7">
        <f aca="true" t="shared" si="7" ref="G74:M74">G73/38987</f>
        <v>0.14902403365224307</v>
      </c>
      <c r="H74" s="7">
        <f t="shared" si="7"/>
        <v>0.005694205760894657</v>
      </c>
      <c r="I74" s="7">
        <f t="shared" si="7"/>
        <v>0.3273911816759433</v>
      </c>
      <c r="J74" s="7">
        <f t="shared" si="7"/>
        <v>0.5049118937081591</v>
      </c>
      <c r="K74" s="7">
        <f t="shared" si="7"/>
        <v>0.0060276502423884885</v>
      </c>
      <c r="L74" s="7">
        <f t="shared" si="7"/>
        <v>0.0020006668889629878</v>
      </c>
      <c r="M74" s="7">
        <f t="shared" si="7"/>
        <v>0.004950368071408418</v>
      </c>
      <c r="N74" s="7">
        <f>N73/529</f>
        <v>1</v>
      </c>
      <c r="O74" s="7">
        <f>O73/1702</f>
        <v>1</v>
      </c>
      <c r="P74" s="7">
        <v>1</v>
      </c>
      <c r="Q74" s="7">
        <f>Q73/66</f>
        <v>1</v>
      </c>
    </row>
    <row r="75" spans="2:17" ht="4.5" customHeight="1"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9">
      <c r="A76" s="5" t="s">
        <v>65</v>
      </c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9">
      <c r="B77" s="9" t="s">
        <v>64</v>
      </c>
      <c r="C77" s="3">
        <v>3415</v>
      </c>
      <c r="D77" s="3">
        <v>73432</v>
      </c>
      <c r="E77" s="3">
        <v>5689</v>
      </c>
      <c r="F77" s="3">
        <v>3223</v>
      </c>
      <c r="G77" s="3">
        <v>3881</v>
      </c>
      <c r="H77" s="3">
        <v>225</v>
      </c>
      <c r="I77" s="3">
        <v>8294</v>
      </c>
      <c r="J77" s="3">
        <v>14229</v>
      </c>
      <c r="K77" s="3">
        <v>201</v>
      </c>
      <c r="L77" s="3">
        <v>87</v>
      </c>
      <c r="M77" s="3">
        <v>273</v>
      </c>
      <c r="N77" s="3">
        <v>345</v>
      </c>
      <c r="O77" s="3">
        <v>3683</v>
      </c>
      <c r="P77" s="3">
        <v>401</v>
      </c>
      <c r="Q77" s="3">
        <v>108</v>
      </c>
    </row>
    <row r="78" spans="2:17" ht="9">
      <c r="B78" s="9" t="s">
        <v>60</v>
      </c>
      <c r="C78" s="3">
        <v>382</v>
      </c>
      <c r="D78" s="3">
        <v>7216</v>
      </c>
      <c r="E78" s="3">
        <v>665</v>
      </c>
      <c r="F78" s="3">
        <v>306</v>
      </c>
      <c r="G78" s="3">
        <v>258</v>
      </c>
      <c r="H78" s="3">
        <v>18</v>
      </c>
      <c r="I78" s="3">
        <v>381</v>
      </c>
      <c r="J78" s="3">
        <v>612</v>
      </c>
      <c r="K78" s="3">
        <v>14</v>
      </c>
      <c r="L78" s="3">
        <v>9</v>
      </c>
      <c r="M78" s="3">
        <v>12</v>
      </c>
      <c r="N78" s="3">
        <v>45</v>
      </c>
      <c r="O78" s="3">
        <v>151</v>
      </c>
      <c r="P78" s="3">
        <v>30</v>
      </c>
      <c r="Q78" s="3">
        <v>8</v>
      </c>
    </row>
    <row r="79" spans="1:17" ht="9">
      <c r="A79" s="4" t="s">
        <v>34</v>
      </c>
      <c r="C79" s="3">
        <v>3797</v>
      </c>
      <c r="D79" s="3">
        <v>80648</v>
      </c>
      <c r="E79" s="3">
        <v>6354</v>
      </c>
      <c r="F79" s="3">
        <v>3529</v>
      </c>
      <c r="G79" s="3">
        <v>4139</v>
      </c>
      <c r="H79" s="3">
        <v>243</v>
      </c>
      <c r="I79" s="3">
        <v>8675</v>
      </c>
      <c r="J79" s="3">
        <v>14841</v>
      </c>
      <c r="K79" s="3">
        <v>215</v>
      </c>
      <c r="L79" s="3">
        <v>96</v>
      </c>
      <c r="M79" s="3">
        <v>285</v>
      </c>
      <c r="N79" s="3">
        <v>390</v>
      </c>
      <c r="O79" s="3">
        <v>3834</v>
      </c>
      <c r="P79" s="3">
        <v>431</v>
      </c>
      <c r="Q79" s="3">
        <v>116</v>
      </c>
    </row>
    <row r="80" spans="2:17" s="6" customFormat="1" ht="9">
      <c r="B80" s="10" t="s">
        <v>120</v>
      </c>
      <c r="C80" s="7">
        <f>C79/94328</f>
        <v>0.04025315918921211</v>
      </c>
      <c r="D80" s="7">
        <f>D79/94328</f>
        <v>0.8549741328131626</v>
      </c>
      <c r="E80" s="7">
        <f>E79/94328</f>
        <v>0.06736069883809685</v>
      </c>
      <c r="F80" s="7">
        <f>F79/94328</f>
        <v>0.037412009159528456</v>
      </c>
      <c r="G80" s="7">
        <f aca="true" t="shared" si="8" ref="G80:M80">G79/28494</f>
        <v>0.1452586509440584</v>
      </c>
      <c r="H80" s="7">
        <f t="shared" si="8"/>
        <v>0.008528111181301326</v>
      </c>
      <c r="I80" s="7">
        <f t="shared" si="8"/>
        <v>0.30445005966168315</v>
      </c>
      <c r="J80" s="7">
        <f t="shared" si="8"/>
        <v>0.5208464939987366</v>
      </c>
      <c r="K80" s="7">
        <f t="shared" si="8"/>
        <v>0.007545448164525865</v>
      </c>
      <c r="L80" s="7">
        <f t="shared" si="8"/>
        <v>0.0033691303432301536</v>
      </c>
      <c r="M80" s="7">
        <f t="shared" si="8"/>
        <v>0.01000210570646452</v>
      </c>
      <c r="N80" s="7">
        <f>N79/390</f>
        <v>1</v>
      </c>
      <c r="O80" s="7">
        <f>O79/3834</f>
        <v>1</v>
      </c>
      <c r="P80" s="7">
        <f>P79/431</f>
        <v>1</v>
      </c>
      <c r="Q80" s="7">
        <f>Q79/116</f>
        <v>1</v>
      </c>
    </row>
    <row r="81" spans="2:17" ht="4.5" customHeight="1">
      <c r="B81" s="1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9">
      <c r="A82" s="5" t="s">
        <v>67</v>
      </c>
      <c r="B82" s="1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9">
      <c r="B83" s="9" t="s">
        <v>64</v>
      </c>
      <c r="C83" s="3">
        <v>2446</v>
      </c>
      <c r="D83" s="3">
        <v>37937</v>
      </c>
      <c r="E83" s="3">
        <v>3213</v>
      </c>
      <c r="F83" s="3">
        <v>1658</v>
      </c>
      <c r="G83" s="3">
        <v>4433</v>
      </c>
      <c r="H83" s="3">
        <v>209</v>
      </c>
      <c r="I83" s="3">
        <v>6752</v>
      </c>
      <c r="J83" s="3">
        <v>16734</v>
      </c>
      <c r="K83" s="3">
        <v>303</v>
      </c>
      <c r="L83" s="3">
        <v>97</v>
      </c>
      <c r="M83" s="3">
        <v>210</v>
      </c>
      <c r="N83" s="3">
        <v>327</v>
      </c>
      <c r="O83" s="3">
        <v>370</v>
      </c>
      <c r="P83" s="3">
        <v>315</v>
      </c>
      <c r="Q83" s="3">
        <v>32</v>
      </c>
    </row>
    <row r="84" spans="2:17" ht="9">
      <c r="B84" s="9" t="s">
        <v>66</v>
      </c>
      <c r="C84" s="3">
        <v>355</v>
      </c>
      <c r="D84" s="3">
        <v>5494</v>
      </c>
      <c r="E84" s="3">
        <v>491</v>
      </c>
      <c r="F84" s="3">
        <v>312</v>
      </c>
      <c r="G84" s="3">
        <v>872</v>
      </c>
      <c r="H84" s="3">
        <v>49</v>
      </c>
      <c r="I84" s="3">
        <v>1226</v>
      </c>
      <c r="J84" s="3">
        <v>2409</v>
      </c>
      <c r="K84" s="3">
        <v>75</v>
      </c>
      <c r="L84" s="3">
        <v>23</v>
      </c>
      <c r="M84" s="3">
        <v>66</v>
      </c>
      <c r="N84" s="3">
        <v>89</v>
      </c>
      <c r="O84" s="3">
        <v>46</v>
      </c>
      <c r="P84" s="3">
        <v>66</v>
      </c>
      <c r="Q84" s="3">
        <v>9</v>
      </c>
    </row>
    <row r="85" spans="1:17" ht="9">
      <c r="A85" s="4" t="s">
        <v>34</v>
      </c>
      <c r="C85" s="3">
        <v>2801</v>
      </c>
      <c r="D85" s="3">
        <v>43431</v>
      </c>
      <c r="E85" s="3">
        <v>3704</v>
      </c>
      <c r="F85" s="3">
        <v>1970</v>
      </c>
      <c r="G85" s="3">
        <v>5305</v>
      </c>
      <c r="H85" s="3">
        <v>258</v>
      </c>
      <c r="I85" s="3">
        <v>7978</v>
      </c>
      <c r="J85" s="3">
        <v>19143</v>
      </c>
      <c r="K85" s="3">
        <v>378</v>
      </c>
      <c r="L85" s="3">
        <v>120</v>
      </c>
      <c r="M85" s="3">
        <v>276</v>
      </c>
      <c r="N85" s="3">
        <v>416</v>
      </c>
      <c r="O85" s="3">
        <v>416</v>
      </c>
      <c r="P85" s="3">
        <v>381</v>
      </c>
      <c r="Q85" s="3">
        <v>41</v>
      </c>
    </row>
    <row r="86" spans="2:17" s="6" customFormat="1" ht="9">
      <c r="B86" s="10" t="s">
        <v>120</v>
      </c>
      <c r="C86" s="7">
        <f>C85/51906</f>
        <v>0.053962932994258854</v>
      </c>
      <c r="D86" s="7">
        <f>D85/51906</f>
        <v>0.8367240781412554</v>
      </c>
      <c r="E86" s="7">
        <f>E85/51906</f>
        <v>0.07135976573035872</v>
      </c>
      <c r="F86" s="7">
        <f>F85/51906</f>
        <v>0.03795322313412708</v>
      </c>
      <c r="G86" s="7">
        <f aca="true" t="shared" si="9" ref="G86:M86">G85/33458</f>
        <v>0.15855699683184887</v>
      </c>
      <c r="H86" s="7">
        <f t="shared" si="9"/>
        <v>0.007711160260625262</v>
      </c>
      <c r="I86" s="7">
        <f t="shared" si="9"/>
        <v>0.23844820371809433</v>
      </c>
      <c r="J86" s="7">
        <f t="shared" si="9"/>
        <v>0.5721501584075558</v>
      </c>
      <c r="K86" s="7">
        <f t="shared" si="9"/>
        <v>0.011297746428357942</v>
      </c>
      <c r="L86" s="7">
        <f t="shared" si="9"/>
        <v>0.00358658616773268</v>
      </c>
      <c r="M86" s="7">
        <f t="shared" si="9"/>
        <v>0.008249148185785163</v>
      </c>
      <c r="N86" s="7">
        <f>N85/416</f>
        <v>1</v>
      </c>
      <c r="O86" s="7">
        <f>O85/416</f>
        <v>1</v>
      </c>
      <c r="P86" s="7">
        <v>1</v>
      </c>
      <c r="Q86" s="7">
        <f>Q85/41</f>
        <v>1</v>
      </c>
    </row>
    <row r="87" spans="2:17" ht="4.5" customHeight="1">
      <c r="B87" s="1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9">
      <c r="A88" s="5" t="s">
        <v>69</v>
      </c>
      <c r="B88" s="1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9">
      <c r="B89" s="9" t="s">
        <v>62</v>
      </c>
      <c r="C89" s="3">
        <v>835</v>
      </c>
      <c r="D89" s="3">
        <v>13990</v>
      </c>
      <c r="E89" s="3">
        <v>1225</v>
      </c>
      <c r="F89" s="3">
        <v>661</v>
      </c>
      <c r="G89" s="3">
        <v>1591</v>
      </c>
      <c r="H89" s="3">
        <v>69</v>
      </c>
      <c r="I89" s="3">
        <v>4542</v>
      </c>
      <c r="J89" s="3">
        <v>6629</v>
      </c>
      <c r="K89" s="3">
        <v>101</v>
      </c>
      <c r="L89" s="3">
        <v>40</v>
      </c>
      <c r="M89" s="3">
        <v>74</v>
      </c>
      <c r="N89" s="3">
        <v>118</v>
      </c>
      <c r="O89" s="3">
        <v>322</v>
      </c>
      <c r="P89" s="3">
        <v>169</v>
      </c>
      <c r="Q89" s="3">
        <v>16</v>
      </c>
    </row>
    <row r="90" spans="2:17" ht="9">
      <c r="B90" s="9" t="s">
        <v>66</v>
      </c>
      <c r="C90" s="3">
        <v>2369</v>
      </c>
      <c r="D90" s="3">
        <v>33657</v>
      </c>
      <c r="E90" s="3">
        <v>2847</v>
      </c>
      <c r="F90" s="3">
        <v>1693</v>
      </c>
      <c r="G90" s="3">
        <v>4483</v>
      </c>
      <c r="H90" s="3">
        <v>237</v>
      </c>
      <c r="I90" s="3">
        <v>10817</v>
      </c>
      <c r="J90" s="3">
        <v>18644</v>
      </c>
      <c r="K90" s="3">
        <v>243</v>
      </c>
      <c r="L90" s="3">
        <v>94</v>
      </c>
      <c r="M90" s="3">
        <v>336</v>
      </c>
      <c r="N90" s="3">
        <v>293</v>
      </c>
      <c r="O90" s="3">
        <v>542</v>
      </c>
      <c r="P90" s="3">
        <v>469</v>
      </c>
      <c r="Q90" s="3">
        <v>52</v>
      </c>
    </row>
    <row r="91" spans="2:17" ht="9">
      <c r="B91" s="9" t="s">
        <v>68</v>
      </c>
      <c r="C91" s="3">
        <v>1300</v>
      </c>
      <c r="D91" s="3">
        <v>15803</v>
      </c>
      <c r="E91" s="3">
        <v>1562</v>
      </c>
      <c r="F91" s="3">
        <v>773</v>
      </c>
      <c r="G91" s="3">
        <v>990</v>
      </c>
      <c r="H91" s="3">
        <v>66</v>
      </c>
      <c r="I91" s="3">
        <v>2555</v>
      </c>
      <c r="J91" s="3">
        <v>5277</v>
      </c>
      <c r="K91" s="3">
        <v>103</v>
      </c>
      <c r="L91" s="3">
        <v>16</v>
      </c>
      <c r="M91" s="3">
        <v>74</v>
      </c>
      <c r="N91" s="3">
        <v>219</v>
      </c>
      <c r="O91" s="3">
        <v>1747</v>
      </c>
      <c r="P91" s="3">
        <v>306</v>
      </c>
      <c r="Q91" s="3">
        <v>69</v>
      </c>
    </row>
    <row r="92" spans="1:17" ht="9">
      <c r="A92" s="4" t="s">
        <v>34</v>
      </c>
      <c r="C92" s="3">
        <v>4504</v>
      </c>
      <c r="D92" s="3">
        <v>63450</v>
      </c>
      <c r="E92" s="3">
        <v>5634</v>
      </c>
      <c r="F92" s="3">
        <v>3127</v>
      </c>
      <c r="G92" s="3">
        <v>7064</v>
      </c>
      <c r="H92" s="3">
        <v>372</v>
      </c>
      <c r="I92" s="3">
        <v>17914</v>
      </c>
      <c r="J92" s="3">
        <v>30550</v>
      </c>
      <c r="K92" s="3">
        <v>447</v>
      </c>
      <c r="L92" s="3">
        <v>150</v>
      </c>
      <c r="M92" s="3">
        <v>484</v>
      </c>
      <c r="N92" s="3">
        <v>630</v>
      </c>
      <c r="O92" s="3">
        <v>2611</v>
      </c>
      <c r="P92" s="3">
        <v>944</v>
      </c>
      <c r="Q92" s="3">
        <v>137</v>
      </c>
    </row>
    <row r="93" spans="2:17" s="6" customFormat="1" ht="9">
      <c r="B93" s="10" t="s">
        <v>120</v>
      </c>
      <c r="C93" s="7">
        <f>C92/76715</f>
        <v>0.05871081274848465</v>
      </c>
      <c r="D93" s="7">
        <f>D92/76715</f>
        <v>0.8270872710682395</v>
      </c>
      <c r="E93" s="7">
        <f>E92/76715</f>
        <v>0.07344065697712311</v>
      </c>
      <c r="F93" s="7">
        <f>F92/76715</f>
        <v>0.040761259206152645</v>
      </c>
      <c r="G93" s="7">
        <f aca="true" t="shared" si="10" ref="G93:M93">G92/56981</f>
        <v>0.123971148277496</v>
      </c>
      <c r="H93" s="7">
        <f t="shared" si="10"/>
        <v>0.00652849195345817</v>
      </c>
      <c r="I93" s="7">
        <f t="shared" si="10"/>
        <v>0.314385496920026</v>
      </c>
      <c r="J93" s="7">
        <f t="shared" si="10"/>
        <v>0.5361436268229761</v>
      </c>
      <c r="K93" s="7">
        <f t="shared" si="10"/>
        <v>0.007844720169881188</v>
      </c>
      <c r="L93" s="7">
        <f t="shared" si="10"/>
        <v>0.0026324564328460364</v>
      </c>
      <c r="M93" s="7">
        <f t="shared" si="10"/>
        <v>0.008494059423316543</v>
      </c>
      <c r="N93" s="7">
        <f>N92/630</f>
        <v>1</v>
      </c>
      <c r="O93" s="7">
        <f>O92/2611</f>
        <v>1</v>
      </c>
      <c r="P93" s="7">
        <v>1</v>
      </c>
      <c r="Q93" s="7">
        <f>Q92/137</f>
        <v>1</v>
      </c>
    </row>
    <row r="94" spans="2:17" ht="4.5" customHeight="1">
      <c r="B94" s="1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9">
      <c r="A95" s="5" t="s">
        <v>75</v>
      </c>
      <c r="B95" s="1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9">
      <c r="B96" s="9" t="s">
        <v>70</v>
      </c>
      <c r="C96" s="3">
        <v>232</v>
      </c>
      <c r="D96" s="3">
        <v>1882</v>
      </c>
      <c r="E96" s="3">
        <v>276</v>
      </c>
      <c r="F96" s="3">
        <v>120</v>
      </c>
      <c r="G96" s="3">
        <v>1688</v>
      </c>
      <c r="H96" s="3">
        <v>8</v>
      </c>
      <c r="I96" s="3">
        <v>285</v>
      </c>
      <c r="J96" s="3">
        <v>986</v>
      </c>
      <c r="K96" s="3">
        <v>45</v>
      </c>
      <c r="L96" s="3">
        <v>9</v>
      </c>
      <c r="M96" s="3">
        <v>20</v>
      </c>
      <c r="N96" s="3">
        <v>35</v>
      </c>
      <c r="O96" s="3">
        <v>6</v>
      </c>
      <c r="P96" s="3">
        <v>10</v>
      </c>
      <c r="Q96" s="3">
        <v>1</v>
      </c>
    </row>
    <row r="97" spans="2:17" ht="9">
      <c r="B97" s="9" t="s">
        <v>71</v>
      </c>
      <c r="C97" s="3">
        <v>929</v>
      </c>
      <c r="D97" s="3">
        <v>10956</v>
      </c>
      <c r="E97" s="3">
        <v>1216</v>
      </c>
      <c r="F97" s="3">
        <v>507</v>
      </c>
      <c r="G97" s="3">
        <v>5095</v>
      </c>
      <c r="H97" s="3">
        <v>103</v>
      </c>
      <c r="I97" s="3">
        <v>1727</v>
      </c>
      <c r="J97" s="3">
        <v>5906</v>
      </c>
      <c r="K97" s="3">
        <v>147</v>
      </c>
      <c r="L97" s="3">
        <v>39</v>
      </c>
      <c r="M97" s="3">
        <v>110</v>
      </c>
      <c r="N97" s="3">
        <v>162</v>
      </c>
      <c r="O97" s="3">
        <v>69</v>
      </c>
      <c r="P97" s="3">
        <v>47</v>
      </c>
      <c r="Q97" s="3">
        <v>6</v>
      </c>
    </row>
    <row r="98" spans="2:17" ht="9">
      <c r="B98" s="9" t="s">
        <v>72</v>
      </c>
      <c r="C98" s="3">
        <v>554</v>
      </c>
      <c r="D98" s="3">
        <v>9931</v>
      </c>
      <c r="E98" s="3">
        <v>1454</v>
      </c>
      <c r="F98" s="3">
        <v>370</v>
      </c>
      <c r="G98" s="3">
        <v>1237</v>
      </c>
      <c r="H98" s="3">
        <v>67</v>
      </c>
      <c r="I98" s="3">
        <v>1687</v>
      </c>
      <c r="J98" s="3">
        <v>4753</v>
      </c>
      <c r="K98" s="3">
        <v>110</v>
      </c>
      <c r="L98" s="3">
        <v>97</v>
      </c>
      <c r="M98" s="3">
        <v>67</v>
      </c>
      <c r="N98" s="3">
        <v>174</v>
      </c>
      <c r="O98" s="3">
        <v>55</v>
      </c>
      <c r="P98" s="3">
        <v>49</v>
      </c>
      <c r="Q98" s="3">
        <v>8</v>
      </c>
    </row>
    <row r="99" spans="2:17" ht="9">
      <c r="B99" s="9" t="s">
        <v>73</v>
      </c>
      <c r="C99" s="3">
        <v>208</v>
      </c>
      <c r="D99" s="3">
        <v>3407</v>
      </c>
      <c r="E99" s="3">
        <v>509</v>
      </c>
      <c r="F99" s="3">
        <v>167</v>
      </c>
      <c r="G99" s="3">
        <v>666</v>
      </c>
      <c r="H99" s="3">
        <v>33</v>
      </c>
      <c r="I99" s="3">
        <v>783</v>
      </c>
      <c r="J99" s="3">
        <v>2322</v>
      </c>
      <c r="K99" s="3">
        <v>55</v>
      </c>
      <c r="L99" s="3">
        <v>26</v>
      </c>
      <c r="M99" s="3">
        <v>35</v>
      </c>
      <c r="N99" s="3">
        <v>68</v>
      </c>
      <c r="O99" s="3">
        <v>36</v>
      </c>
      <c r="P99" s="3">
        <v>31</v>
      </c>
      <c r="Q99" s="3">
        <v>0</v>
      </c>
    </row>
    <row r="100" spans="2:17" ht="9">
      <c r="B100" s="9" t="s">
        <v>74</v>
      </c>
      <c r="C100" s="3">
        <v>1373</v>
      </c>
      <c r="D100" s="3">
        <v>17212</v>
      </c>
      <c r="E100" s="3">
        <v>2168</v>
      </c>
      <c r="F100" s="3">
        <v>1035</v>
      </c>
      <c r="G100" s="3">
        <v>5972</v>
      </c>
      <c r="H100" s="3">
        <v>162</v>
      </c>
      <c r="I100" s="3">
        <v>2630</v>
      </c>
      <c r="J100" s="3">
        <v>10352</v>
      </c>
      <c r="K100" s="3">
        <v>230</v>
      </c>
      <c r="L100" s="3">
        <v>63</v>
      </c>
      <c r="M100" s="3">
        <v>159</v>
      </c>
      <c r="N100" s="3">
        <v>338</v>
      </c>
      <c r="O100" s="3">
        <v>111</v>
      </c>
      <c r="P100" s="3">
        <v>122</v>
      </c>
      <c r="Q100" s="3">
        <v>11</v>
      </c>
    </row>
    <row r="101" spans="1:17" ht="9">
      <c r="A101" s="4" t="s">
        <v>34</v>
      </c>
      <c r="C101" s="3">
        <v>3296</v>
      </c>
      <c r="D101" s="3">
        <v>43388</v>
      </c>
      <c r="E101" s="3">
        <v>5623</v>
      </c>
      <c r="F101" s="3">
        <v>2199</v>
      </c>
      <c r="G101" s="3">
        <v>14658</v>
      </c>
      <c r="H101" s="3">
        <v>373</v>
      </c>
      <c r="I101" s="3">
        <v>7112</v>
      </c>
      <c r="J101" s="3">
        <v>24319</v>
      </c>
      <c r="K101" s="3">
        <v>587</v>
      </c>
      <c r="L101" s="3">
        <v>234</v>
      </c>
      <c r="M101" s="3">
        <v>391</v>
      </c>
      <c r="N101" s="3">
        <v>777</v>
      </c>
      <c r="O101" s="3">
        <v>277</v>
      </c>
      <c r="P101" s="3">
        <v>259</v>
      </c>
      <c r="Q101" s="3">
        <v>26</v>
      </c>
    </row>
    <row r="102" spans="2:17" s="6" customFormat="1" ht="9">
      <c r="B102" s="10" t="s">
        <v>120</v>
      </c>
      <c r="C102" s="7">
        <f>C101/54506</f>
        <v>0.06047040692767769</v>
      </c>
      <c r="D102" s="7">
        <f>D101/54506</f>
        <v>0.7960224562433493</v>
      </c>
      <c r="E102" s="7">
        <f>E101/54506</f>
        <v>0.10316295453711519</v>
      </c>
      <c r="F102" s="7">
        <f>F101/54506</f>
        <v>0.04034418229185778</v>
      </c>
      <c r="G102" s="7">
        <f aca="true" t="shared" si="11" ref="G102:M102">G101/47674</f>
        <v>0.3074631874816462</v>
      </c>
      <c r="H102" s="7">
        <f t="shared" si="11"/>
        <v>0.007823971137307546</v>
      </c>
      <c r="I102" s="7">
        <f t="shared" si="11"/>
        <v>0.1491798464571884</v>
      </c>
      <c r="J102" s="7">
        <f t="shared" si="11"/>
        <v>0.5101103326760917</v>
      </c>
      <c r="K102" s="7">
        <f t="shared" si="11"/>
        <v>0.012312791039140831</v>
      </c>
      <c r="L102" s="7">
        <f t="shared" si="11"/>
        <v>0.004908335780509292</v>
      </c>
      <c r="M102" s="7">
        <f t="shared" si="11"/>
        <v>0.008201535428115954</v>
      </c>
      <c r="N102" s="7">
        <f>N101/777</f>
        <v>1</v>
      </c>
      <c r="O102" s="7">
        <f>O101/277</f>
        <v>1</v>
      </c>
      <c r="P102" s="7">
        <v>1</v>
      </c>
      <c r="Q102" s="7">
        <f>Q101/26</f>
        <v>1</v>
      </c>
    </row>
    <row r="103" spans="2:17" ht="4.5" customHeight="1">
      <c r="B103" s="1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9">
      <c r="A104" s="5" t="s">
        <v>76</v>
      </c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9">
      <c r="B105" s="9" t="s">
        <v>66</v>
      </c>
      <c r="C105" s="3">
        <v>3327</v>
      </c>
      <c r="D105" s="3">
        <v>40999</v>
      </c>
      <c r="E105" s="3">
        <v>3973</v>
      </c>
      <c r="F105" s="3">
        <v>2105</v>
      </c>
      <c r="G105" s="3">
        <v>4479</v>
      </c>
      <c r="H105" s="3">
        <v>331</v>
      </c>
      <c r="I105" s="3">
        <v>8053</v>
      </c>
      <c r="J105" s="3">
        <v>15119</v>
      </c>
      <c r="K105" s="3">
        <v>356</v>
      </c>
      <c r="L105" s="3">
        <v>173</v>
      </c>
      <c r="M105" s="3">
        <v>429</v>
      </c>
      <c r="N105" s="3">
        <v>437</v>
      </c>
      <c r="O105" s="3">
        <v>633</v>
      </c>
      <c r="P105" s="3">
        <v>539</v>
      </c>
      <c r="Q105" s="3">
        <v>47</v>
      </c>
    </row>
    <row r="106" spans="1:17" ht="9">
      <c r="A106" s="4" t="s">
        <v>34</v>
      </c>
      <c r="C106" s="3">
        <v>3327</v>
      </c>
      <c r="D106" s="3">
        <v>40999</v>
      </c>
      <c r="E106" s="3">
        <v>3973</v>
      </c>
      <c r="F106" s="3">
        <v>2105</v>
      </c>
      <c r="G106" s="3">
        <v>4479</v>
      </c>
      <c r="H106" s="3">
        <v>331</v>
      </c>
      <c r="I106" s="3">
        <v>8053</v>
      </c>
      <c r="J106" s="3">
        <v>15119</v>
      </c>
      <c r="K106" s="3">
        <v>356</v>
      </c>
      <c r="L106" s="3">
        <v>173</v>
      </c>
      <c r="M106" s="3">
        <v>429</v>
      </c>
      <c r="N106" s="3">
        <v>437</v>
      </c>
      <c r="O106" s="3">
        <v>633</v>
      </c>
      <c r="P106" s="3">
        <v>539</v>
      </c>
      <c r="Q106" s="3">
        <v>47</v>
      </c>
    </row>
    <row r="107" spans="2:17" s="6" customFormat="1" ht="9">
      <c r="B107" s="10" t="s">
        <v>120</v>
      </c>
      <c r="C107" s="7">
        <f>C106/50404</f>
        <v>0.06600666613760812</v>
      </c>
      <c r="D107" s="7">
        <f>D106/50404</f>
        <v>0.8134076660582493</v>
      </c>
      <c r="E107" s="7">
        <f>E106/50404</f>
        <v>0.0788231092770415</v>
      </c>
      <c r="F107" s="7">
        <f>F106/50404</f>
        <v>0.04176255852710102</v>
      </c>
      <c r="G107" s="7">
        <f aca="true" t="shared" si="12" ref="G107:M107">G106/28940</f>
        <v>0.15476848652384242</v>
      </c>
      <c r="H107" s="7">
        <f t="shared" si="12"/>
        <v>0.011437456807187284</v>
      </c>
      <c r="I107" s="7">
        <f t="shared" si="12"/>
        <v>0.2782653766413269</v>
      </c>
      <c r="J107" s="7">
        <f t="shared" si="12"/>
        <v>0.5224257083621285</v>
      </c>
      <c r="K107" s="7">
        <f t="shared" si="12"/>
        <v>0.012301313061506565</v>
      </c>
      <c r="L107" s="7">
        <f t="shared" si="12"/>
        <v>0.005977885279889426</v>
      </c>
      <c r="M107" s="7">
        <f t="shared" si="12"/>
        <v>0.014823773324118867</v>
      </c>
      <c r="N107" s="7">
        <f>N106/437</f>
        <v>1</v>
      </c>
      <c r="O107" s="7">
        <f>O106/633</f>
        <v>1</v>
      </c>
      <c r="P107" s="7">
        <v>1</v>
      </c>
      <c r="Q107" s="7">
        <f>Q106/47</f>
        <v>1</v>
      </c>
    </row>
    <row r="108" spans="2:17" ht="4.5" customHeight="1">
      <c r="B108" s="1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9">
      <c r="A109" s="5" t="s">
        <v>80</v>
      </c>
      <c r="B109" s="1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9">
      <c r="B110" s="9" t="s">
        <v>77</v>
      </c>
      <c r="C110" s="3">
        <v>2524</v>
      </c>
      <c r="D110" s="3">
        <v>20330</v>
      </c>
      <c r="E110" s="3">
        <v>1964</v>
      </c>
      <c r="F110" s="3">
        <v>1446</v>
      </c>
      <c r="G110" s="3">
        <v>31479</v>
      </c>
      <c r="H110" s="3">
        <v>148</v>
      </c>
      <c r="I110" s="3">
        <v>4770</v>
      </c>
      <c r="J110" s="3">
        <v>15912</v>
      </c>
      <c r="K110" s="3">
        <v>212</v>
      </c>
      <c r="L110" s="3">
        <v>61</v>
      </c>
      <c r="M110" s="3">
        <v>128</v>
      </c>
      <c r="N110" s="3">
        <v>352</v>
      </c>
      <c r="O110" s="3">
        <v>265</v>
      </c>
      <c r="P110" s="3">
        <v>174</v>
      </c>
      <c r="Q110" s="3">
        <v>26</v>
      </c>
    </row>
    <row r="111" spans="2:17" ht="9">
      <c r="B111" s="9" t="s">
        <v>70</v>
      </c>
      <c r="C111" s="3">
        <v>416</v>
      </c>
      <c r="D111" s="3">
        <v>2389</v>
      </c>
      <c r="E111" s="3">
        <v>348</v>
      </c>
      <c r="F111" s="3">
        <v>243</v>
      </c>
      <c r="G111" s="3">
        <v>4165</v>
      </c>
      <c r="H111" s="3">
        <v>39</v>
      </c>
      <c r="I111" s="3">
        <v>805</v>
      </c>
      <c r="J111" s="3">
        <v>2933</v>
      </c>
      <c r="K111" s="3">
        <v>53</v>
      </c>
      <c r="L111" s="3">
        <v>7</v>
      </c>
      <c r="M111" s="3">
        <v>30</v>
      </c>
      <c r="N111" s="3">
        <v>101</v>
      </c>
      <c r="O111" s="3">
        <v>44</v>
      </c>
      <c r="P111" s="3">
        <v>52</v>
      </c>
      <c r="Q111" s="3">
        <v>4</v>
      </c>
    </row>
    <row r="112" spans="2:17" ht="9">
      <c r="B112" s="9" t="s">
        <v>78</v>
      </c>
      <c r="C112" s="3">
        <v>153</v>
      </c>
      <c r="D112" s="3">
        <v>1362</v>
      </c>
      <c r="E112" s="3">
        <v>171</v>
      </c>
      <c r="F112" s="3">
        <v>83</v>
      </c>
      <c r="G112" s="3">
        <v>1338</v>
      </c>
      <c r="H112" s="3">
        <v>20</v>
      </c>
      <c r="I112" s="3">
        <v>371</v>
      </c>
      <c r="J112" s="3">
        <v>1326</v>
      </c>
      <c r="K112" s="3">
        <v>26</v>
      </c>
      <c r="L112" s="3">
        <v>5</v>
      </c>
      <c r="M112" s="3">
        <v>14</v>
      </c>
      <c r="N112" s="3">
        <v>51</v>
      </c>
      <c r="O112" s="3">
        <v>44</v>
      </c>
      <c r="P112" s="3">
        <v>32</v>
      </c>
      <c r="Q112" s="3">
        <v>3</v>
      </c>
    </row>
    <row r="113" spans="2:17" ht="9">
      <c r="B113" s="9" t="s">
        <v>56</v>
      </c>
      <c r="C113" s="3">
        <v>894</v>
      </c>
      <c r="D113" s="3">
        <v>7553</v>
      </c>
      <c r="E113" s="3">
        <v>895</v>
      </c>
      <c r="F113" s="3">
        <v>598</v>
      </c>
      <c r="G113" s="3">
        <v>5315</v>
      </c>
      <c r="H113" s="3">
        <v>99</v>
      </c>
      <c r="I113" s="3">
        <v>3422</v>
      </c>
      <c r="J113" s="3">
        <v>10813</v>
      </c>
      <c r="K113" s="3">
        <v>158</v>
      </c>
      <c r="L113" s="3">
        <v>21</v>
      </c>
      <c r="M113" s="3">
        <v>98</v>
      </c>
      <c r="N113" s="3">
        <v>207</v>
      </c>
      <c r="O113" s="3">
        <v>52</v>
      </c>
      <c r="P113" s="3">
        <v>75</v>
      </c>
      <c r="Q113" s="3">
        <v>6</v>
      </c>
    </row>
    <row r="114" spans="2:17" ht="9">
      <c r="B114" s="9" t="s">
        <v>74</v>
      </c>
      <c r="C114" s="3">
        <v>693</v>
      </c>
      <c r="D114" s="3">
        <v>7157</v>
      </c>
      <c r="E114" s="3">
        <v>890</v>
      </c>
      <c r="F114" s="3">
        <v>460</v>
      </c>
      <c r="G114" s="3">
        <v>4018</v>
      </c>
      <c r="H114" s="3">
        <v>58</v>
      </c>
      <c r="I114" s="3">
        <v>1848</v>
      </c>
      <c r="J114" s="3">
        <v>7980</v>
      </c>
      <c r="K114" s="3">
        <v>113</v>
      </c>
      <c r="L114" s="3">
        <v>25</v>
      </c>
      <c r="M114" s="3">
        <v>60</v>
      </c>
      <c r="N114" s="3">
        <v>175</v>
      </c>
      <c r="O114" s="3">
        <v>28</v>
      </c>
      <c r="P114" s="3">
        <v>60</v>
      </c>
      <c r="Q114" s="3">
        <v>7</v>
      </c>
    </row>
    <row r="115" spans="2:17" ht="9">
      <c r="B115" s="9" t="s">
        <v>79</v>
      </c>
      <c r="C115" s="3">
        <v>400</v>
      </c>
      <c r="D115" s="3">
        <v>4259</v>
      </c>
      <c r="E115" s="3">
        <v>446</v>
      </c>
      <c r="F115" s="3">
        <v>256</v>
      </c>
      <c r="G115" s="3">
        <v>1984</v>
      </c>
      <c r="H115" s="3">
        <v>45</v>
      </c>
      <c r="I115" s="3">
        <v>1107</v>
      </c>
      <c r="J115" s="3">
        <v>4103</v>
      </c>
      <c r="K115" s="3">
        <v>45</v>
      </c>
      <c r="L115" s="3">
        <v>7</v>
      </c>
      <c r="M115" s="3">
        <v>35</v>
      </c>
      <c r="N115" s="3">
        <v>78</v>
      </c>
      <c r="O115" s="3">
        <v>69</v>
      </c>
      <c r="P115" s="3">
        <v>48</v>
      </c>
      <c r="Q115" s="3">
        <v>1</v>
      </c>
    </row>
    <row r="116" spans="1:17" ht="9">
      <c r="A116" s="4" t="s">
        <v>34</v>
      </c>
      <c r="C116" s="3">
        <v>5080</v>
      </c>
      <c r="D116" s="3">
        <v>43050</v>
      </c>
      <c r="E116" s="3">
        <v>4714</v>
      </c>
      <c r="F116" s="3">
        <v>3086</v>
      </c>
      <c r="G116" s="3">
        <v>48299</v>
      </c>
      <c r="H116" s="3">
        <v>409</v>
      </c>
      <c r="I116" s="3">
        <v>12323</v>
      </c>
      <c r="J116" s="3">
        <v>43067</v>
      </c>
      <c r="K116" s="3">
        <v>607</v>
      </c>
      <c r="L116" s="3">
        <v>126</v>
      </c>
      <c r="M116" s="3">
        <v>365</v>
      </c>
      <c r="N116" s="3">
        <v>964</v>
      </c>
      <c r="O116" s="3">
        <v>502</v>
      </c>
      <c r="P116" s="3">
        <v>441</v>
      </c>
      <c r="Q116" s="3">
        <v>47</v>
      </c>
    </row>
    <row r="117" spans="2:17" s="6" customFormat="1" ht="9">
      <c r="B117" s="10" t="s">
        <v>120</v>
      </c>
      <c r="C117" s="7">
        <f>C116/55930</f>
        <v>0.09082782048989808</v>
      </c>
      <c r="D117" s="7">
        <f>D116/55930</f>
        <v>0.769712140175219</v>
      </c>
      <c r="E117" s="7">
        <f>E116/55930</f>
        <v>0.08428392633649204</v>
      </c>
      <c r="F117" s="7">
        <f>F116/55930</f>
        <v>0.05517611299839085</v>
      </c>
      <c r="G117" s="7">
        <f aca="true" t="shared" si="13" ref="G117:M117">G116/105196</f>
        <v>0.45913342712650673</v>
      </c>
      <c r="H117" s="7">
        <f t="shared" si="13"/>
        <v>0.0038879805315791475</v>
      </c>
      <c r="I117" s="7">
        <f t="shared" si="13"/>
        <v>0.11714323738545192</v>
      </c>
      <c r="J117" s="7">
        <f t="shared" si="13"/>
        <v>0.40939769572987567</v>
      </c>
      <c r="K117" s="7">
        <f t="shared" si="13"/>
        <v>0.005770181375717708</v>
      </c>
      <c r="L117" s="7">
        <f t="shared" si="13"/>
        <v>0.0011977641735427202</v>
      </c>
      <c r="M117" s="7">
        <f t="shared" si="13"/>
        <v>0.003469713677326134</v>
      </c>
      <c r="N117" s="7">
        <f>N116/964</f>
        <v>1</v>
      </c>
      <c r="O117" s="7">
        <f>O116/502</f>
        <v>1</v>
      </c>
      <c r="P117" s="7">
        <v>1</v>
      </c>
      <c r="Q117" s="7">
        <f>Q116/47</f>
        <v>1</v>
      </c>
    </row>
    <row r="118" spans="2:17" ht="4.5" customHeight="1">
      <c r="B118" s="1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9">
      <c r="A119" s="5" t="s">
        <v>83</v>
      </c>
      <c r="B119" s="1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9">
      <c r="B120" s="9" t="s">
        <v>72</v>
      </c>
      <c r="C120" s="3">
        <v>1035</v>
      </c>
      <c r="D120" s="3">
        <v>13356</v>
      </c>
      <c r="E120" s="3">
        <v>1131</v>
      </c>
      <c r="F120" s="3">
        <v>610</v>
      </c>
      <c r="G120" s="3">
        <v>2088</v>
      </c>
      <c r="H120" s="3">
        <v>100</v>
      </c>
      <c r="I120" s="3">
        <v>4695</v>
      </c>
      <c r="J120" s="3">
        <v>9253</v>
      </c>
      <c r="K120" s="3">
        <v>138</v>
      </c>
      <c r="L120" s="3">
        <v>61</v>
      </c>
      <c r="M120" s="3">
        <v>105</v>
      </c>
      <c r="N120" s="3">
        <v>214</v>
      </c>
      <c r="O120" s="3">
        <v>346</v>
      </c>
      <c r="P120" s="3">
        <v>146</v>
      </c>
      <c r="Q120" s="3">
        <v>17</v>
      </c>
    </row>
    <row r="121" spans="2:17" ht="9">
      <c r="B121" s="9" t="s">
        <v>81</v>
      </c>
      <c r="C121" s="3">
        <v>1337</v>
      </c>
      <c r="D121" s="3">
        <v>14713</v>
      </c>
      <c r="E121" s="3">
        <v>1665</v>
      </c>
      <c r="F121" s="3">
        <v>829</v>
      </c>
      <c r="G121" s="3">
        <v>4561</v>
      </c>
      <c r="H121" s="3">
        <v>157</v>
      </c>
      <c r="I121" s="3">
        <v>10040</v>
      </c>
      <c r="J121" s="3">
        <v>16248</v>
      </c>
      <c r="K121" s="3">
        <v>250</v>
      </c>
      <c r="L121" s="3">
        <v>43</v>
      </c>
      <c r="M121" s="3">
        <v>167</v>
      </c>
      <c r="N121" s="3">
        <v>265</v>
      </c>
      <c r="O121" s="3">
        <v>601</v>
      </c>
      <c r="P121" s="3">
        <v>241</v>
      </c>
      <c r="Q121" s="3">
        <v>35</v>
      </c>
    </row>
    <row r="122" spans="2:17" ht="9">
      <c r="B122" s="9" t="s">
        <v>82</v>
      </c>
      <c r="C122" s="3">
        <v>368</v>
      </c>
      <c r="D122" s="3">
        <v>4083</v>
      </c>
      <c r="E122" s="3">
        <v>441</v>
      </c>
      <c r="F122" s="3">
        <v>231</v>
      </c>
      <c r="G122" s="3">
        <v>1311</v>
      </c>
      <c r="H122" s="3">
        <v>27</v>
      </c>
      <c r="I122" s="3">
        <v>2764</v>
      </c>
      <c r="J122" s="3">
        <v>4759</v>
      </c>
      <c r="K122" s="3">
        <v>71</v>
      </c>
      <c r="L122" s="3">
        <v>11</v>
      </c>
      <c r="M122" s="3">
        <v>33</v>
      </c>
      <c r="N122" s="3">
        <v>54</v>
      </c>
      <c r="O122" s="3">
        <v>26</v>
      </c>
      <c r="P122" s="3">
        <v>30</v>
      </c>
      <c r="Q122" s="3">
        <v>4</v>
      </c>
    </row>
    <row r="123" spans="2:17" ht="9">
      <c r="B123" s="9" t="s">
        <v>66</v>
      </c>
      <c r="C123" s="3">
        <v>982</v>
      </c>
      <c r="D123" s="3">
        <v>11934</v>
      </c>
      <c r="E123" s="3">
        <v>966</v>
      </c>
      <c r="F123" s="3">
        <v>595</v>
      </c>
      <c r="G123" s="3">
        <v>2424</v>
      </c>
      <c r="H123" s="3">
        <v>99</v>
      </c>
      <c r="I123" s="3">
        <v>6382</v>
      </c>
      <c r="J123" s="3">
        <v>11454</v>
      </c>
      <c r="K123" s="3">
        <v>135</v>
      </c>
      <c r="L123" s="3">
        <v>54</v>
      </c>
      <c r="M123" s="3">
        <v>166</v>
      </c>
      <c r="N123" s="3">
        <v>129</v>
      </c>
      <c r="O123" s="3">
        <v>135</v>
      </c>
      <c r="P123" s="3">
        <v>169</v>
      </c>
      <c r="Q123" s="3">
        <v>15</v>
      </c>
    </row>
    <row r="124" spans="2:17" ht="9">
      <c r="B124" s="9" t="s">
        <v>68</v>
      </c>
      <c r="C124" s="3">
        <v>776</v>
      </c>
      <c r="D124" s="3">
        <v>9546</v>
      </c>
      <c r="E124" s="3">
        <v>1045</v>
      </c>
      <c r="F124" s="3">
        <v>384</v>
      </c>
      <c r="G124" s="3">
        <v>1022</v>
      </c>
      <c r="H124" s="3">
        <v>36</v>
      </c>
      <c r="I124" s="3">
        <v>2579</v>
      </c>
      <c r="J124" s="3">
        <v>5583</v>
      </c>
      <c r="K124" s="3">
        <v>67</v>
      </c>
      <c r="L124" s="3">
        <v>40</v>
      </c>
      <c r="M124" s="3">
        <v>61</v>
      </c>
      <c r="N124" s="3">
        <v>124</v>
      </c>
      <c r="O124" s="3">
        <v>389</v>
      </c>
      <c r="P124" s="3">
        <v>146</v>
      </c>
      <c r="Q124" s="3">
        <v>24</v>
      </c>
    </row>
    <row r="125" spans="1:17" ht="9">
      <c r="A125" s="4" t="s">
        <v>34</v>
      </c>
      <c r="C125" s="3">
        <v>4498</v>
      </c>
      <c r="D125" s="3">
        <v>53632</v>
      </c>
      <c r="E125" s="3">
        <v>5248</v>
      </c>
      <c r="F125" s="3">
        <v>2649</v>
      </c>
      <c r="G125" s="3">
        <v>11406</v>
      </c>
      <c r="H125" s="3">
        <v>419</v>
      </c>
      <c r="I125" s="3">
        <v>26460</v>
      </c>
      <c r="J125" s="3">
        <v>47297</v>
      </c>
      <c r="K125" s="3">
        <v>661</v>
      </c>
      <c r="L125" s="3">
        <v>209</v>
      </c>
      <c r="M125" s="3">
        <v>532</v>
      </c>
      <c r="N125" s="3">
        <v>786</v>
      </c>
      <c r="O125" s="3">
        <v>1497</v>
      </c>
      <c r="P125" s="3">
        <v>732</v>
      </c>
      <c r="Q125" s="3">
        <v>95</v>
      </c>
    </row>
    <row r="126" spans="2:17" s="6" customFormat="1" ht="9">
      <c r="B126" s="10" t="s">
        <v>120</v>
      </c>
      <c r="C126" s="7">
        <f>C125/66027</f>
        <v>0.06812364638708407</v>
      </c>
      <c r="D126" s="7">
        <f>D125/66027</f>
        <v>0.8122737667923728</v>
      </c>
      <c r="E126" s="7">
        <f>E125/66027</f>
        <v>0.07948263589137777</v>
      </c>
      <c r="F126" s="7">
        <f>F125/66027</f>
        <v>0.04011995092916534</v>
      </c>
      <c r="G126" s="7">
        <f aca="true" t="shared" si="14" ref="G126:M126">G125/86984</f>
        <v>0.131127563689874</v>
      </c>
      <c r="H126" s="7">
        <f t="shared" si="14"/>
        <v>0.004816977835004139</v>
      </c>
      <c r="I126" s="7">
        <f t="shared" si="14"/>
        <v>0.30419387473558357</v>
      </c>
      <c r="J126" s="7">
        <f t="shared" si="14"/>
        <v>0.5437436769980686</v>
      </c>
      <c r="K126" s="7">
        <f t="shared" si="14"/>
        <v>0.007599098684815599</v>
      </c>
      <c r="L126" s="7">
        <f t="shared" si="14"/>
        <v>0.002402740733928079</v>
      </c>
      <c r="M126" s="7">
        <f t="shared" si="14"/>
        <v>0.006116067322726019</v>
      </c>
      <c r="N126" s="7">
        <f>N125/786</f>
        <v>1</v>
      </c>
      <c r="O126" s="7">
        <f>O125/1497</f>
        <v>1</v>
      </c>
      <c r="P126" s="7">
        <v>1</v>
      </c>
      <c r="Q126" s="7">
        <f>Q125/95</f>
        <v>1</v>
      </c>
    </row>
    <row r="127" spans="2:17" ht="4.5" customHeight="1">
      <c r="B127" s="1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9">
      <c r="A128" s="5" t="s">
        <v>87</v>
      </c>
      <c r="B128" s="1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9">
      <c r="B129" s="9" t="s">
        <v>77</v>
      </c>
      <c r="C129" s="3">
        <v>1336</v>
      </c>
      <c r="D129" s="3">
        <v>13829</v>
      </c>
      <c r="E129" s="3">
        <v>1232</v>
      </c>
      <c r="F129" s="3">
        <v>575</v>
      </c>
      <c r="G129" s="3">
        <v>6473</v>
      </c>
      <c r="H129" s="3">
        <v>74</v>
      </c>
      <c r="I129" s="3">
        <v>1034</v>
      </c>
      <c r="J129" s="3">
        <v>3372</v>
      </c>
      <c r="K129" s="3">
        <v>75</v>
      </c>
      <c r="L129" s="3">
        <v>27</v>
      </c>
      <c r="M129" s="3">
        <v>84</v>
      </c>
      <c r="N129" s="3">
        <v>149</v>
      </c>
      <c r="O129" s="3">
        <v>98</v>
      </c>
      <c r="P129" s="3">
        <v>56</v>
      </c>
      <c r="Q129" s="3">
        <v>9</v>
      </c>
    </row>
    <row r="130" spans="2:17" ht="9">
      <c r="B130" s="9" t="s">
        <v>84</v>
      </c>
      <c r="C130" s="3">
        <v>773</v>
      </c>
      <c r="D130" s="3">
        <v>8522</v>
      </c>
      <c r="E130" s="3">
        <v>962</v>
      </c>
      <c r="F130" s="3">
        <v>434</v>
      </c>
      <c r="G130" s="3">
        <v>1711</v>
      </c>
      <c r="H130" s="3">
        <v>56</v>
      </c>
      <c r="I130" s="3">
        <v>1017</v>
      </c>
      <c r="J130" s="3">
        <v>2511</v>
      </c>
      <c r="K130" s="3">
        <v>68</v>
      </c>
      <c r="L130" s="3">
        <v>20</v>
      </c>
      <c r="M130" s="3">
        <v>98</v>
      </c>
      <c r="N130" s="3">
        <v>121</v>
      </c>
      <c r="O130" s="3">
        <v>20</v>
      </c>
      <c r="P130" s="3">
        <v>32</v>
      </c>
      <c r="Q130" s="3">
        <v>9</v>
      </c>
    </row>
    <row r="131" spans="2:17" ht="9">
      <c r="B131" s="9" t="s">
        <v>85</v>
      </c>
      <c r="C131" s="3">
        <v>586</v>
      </c>
      <c r="D131" s="3">
        <v>4230</v>
      </c>
      <c r="E131" s="3">
        <v>505</v>
      </c>
      <c r="F131" s="3">
        <v>368</v>
      </c>
      <c r="G131" s="3">
        <v>4143</v>
      </c>
      <c r="H131" s="3">
        <v>52</v>
      </c>
      <c r="I131" s="3">
        <v>615</v>
      </c>
      <c r="J131" s="3">
        <v>2584</v>
      </c>
      <c r="K131" s="3">
        <v>47</v>
      </c>
      <c r="L131" s="3">
        <v>11</v>
      </c>
      <c r="M131" s="3">
        <v>68</v>
      </c>
      <c r="N131" s="3">
        <v>74</v>
      </c>
      <c r="O131" s="3">
        <v>15</v>
      </c>
      <c r="P131" s="3">
        <v>25</v>
      </c>
      <c r="Q131" s="3">
        <v>7</v>
      </c>
    </row>
    <row r="132" spans="2:17" ht="9">
      <c r="B132" s="9" t="s">
        <v>86</v>
      </c>
      <c r="C132" s="3">
        <v>313</v>
      </c>
      <c r="D132" s="3">
        <v>3053</v>
      </c>
      <c r="E132" s="3">
        <v>364</v>
      </c>
      <c r="F132" s="3">
        <v>175</v>
      </c>
      <c r="G132" s="3">
        <v>2779</v>
      </c>
      <c r="H132" s="3">
        <v>14</v>
      </c>
      <c r="I132" s="3">
        <v>254</v>
      </c>
      <c r="J132" s="3">
        <v>1202</v>
      </c>
      <c r="K132" s="3">
        <v>29</v>
      </c>
      <c r="L132" s="3">
        <v>9</v>
      </c>
      <c r="M132" s="3">
        <v>19</v>
      </c>
      <c r="N132" s="3">
        <v>48</v>
      </c>
      <c r="O132" s="3">
        <v>9</v>
      </c>
      <c r="P132" s="3">
        <v>18</v>
      </c>
      <c r="Q132" s="3">
        <v>1</v>
      </c>
    </row>
    <row r="133" spans="1:17" ht="9">
      <c r="A133" s="4" t="s">
        <v>34</v>
      </c>
      <c r="C133" s="3">
        <v>3008</v>
      </c>
      <c r="D133" s="3">
        <v>29634</v>
      </c>
      <c r="E133" s="3">
        <v>3063</v>
      </c>
      <c r="F133" s="3">
        <v>1552</v>
      </c>
      <c r="G133" s="3">
        <v>15106</v>
      </c>
      <c r="H133" s="3">
        <v>196</v>
      </c>
      <c r="I133" s="3">
        <v>2920</v>
      </c>
      <c r="J133" s="3">
        <v>9669</v>
      </c>
      <c r="K133" s="3">
        <v>219</v>
      </c>
      <c r="L133" s="3">
        <v>67</v>
      </c>
      <c r="M133" s="3">
        <v>269</v>
      </c>
      <c r="N133" s="3">
        <v>392</v>
      </c>
      <c r="O133" s="3">
        <v>142</v>
      </c>
      <c r="P133" s="3">
        <v>131</v>
      </c>
      <c r="Q133" s="3">
        <v>26</v>
      </c>
    </row>
    <row r="134" spans="2:17" s="6" customFormat="1" ht="9">
      <c r="B134" s="10" t="s">
        <v>120</v>
      </c>
      <c r="C134" s="7">
        <f>C133/37257</f>
        <v>0.08073650589151032</v>
      </c>
      <c r="D134" s="7">
        <f>D133/37257</f>
        <v>0.7953941541186891</v>
      </c>
      <c r="E134" s="7">
        <f>E133/37257</f>
        <v>0.08221273854577663</v>
      </c>
      <c r="F134" s="7">
        <f>F133/37257</f>
        <v>0.041656601444023944</v>
      </c>
      <c r="G134" s="7">
        <f aca="true" t="shared" si="15" ref="G134:M134">G133/28446</f>
        <v>0.5310412711804823</v>
      </c>
      <c r="H134" s="7">
        <f t="shared" si="15"/>
        <v>0.006890248189552134</v>
      </c>
      <c r="I134" s="7">
        <f t="shared" si="15"/>
        <v>0.10265063629332771</v>
      </c>
      <c r="J134" s="7">
        <f t="shared" si="15"/>
        <v>0.339907192575406</v>
      </c>
      <c r="K134" s="7">
        <f t="shared" si="15"/>
        <v>0.0076987977219995785</v>
      </c>
      <c r="L134" s="7">
        <f t="shared" si="15"/>
        <v>0.002355339942346903</v>
      </c>
      <c r="M134" s="7">
        <f t="shared" si="15"/>
        <v>0.009456514096885327</v>
      </c>
      <c r="N134" s="7">
        <f>N133/392</f>
        <v>1</v>
      </c>
      <c r="O134" s="7">
        <f>O133/142</f>
        <v>1</v>
      </c>
      <c r="P134" s="7">
        <v>1</v>
      </c>
      <c r="Q134" s="7">
        <f>Q133/26</f>
        <v>1</v>
      </c>
    </row>
    <row r="135" spans="2:17" ht="4.5" customHeight="1">
      <c r="B135" s="1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9">
      <c r="A136" s="5" t="s">
        <v>91</v>
      </c>
      <c r="B136" s="1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ht="9">
      <c r="B137" s="9" t="s">
        <v>84</v>
      </c>
      <c r="C137" s="3">
        <v>1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3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</row>
    <row r="138" spans="2:17" ht="9">
      <c r="B138" s="9" t="s">
        <v>88</v>
      </c>
      <c r="C138" s="3">
        <v>2138</v>
      </c>
      <c r="D138" s="3">
        <v>18711</v>
      </c>
      <c r="E138" s="3">
        <v>2724</v>
      </c>
      <c r="F138" s="3">
        <v>1771</v>
      </c>
      <c r="G138" s="3">
        <v>4275</v>
      </c>
      <c r="H138" s="3">
        <v>206</v>
      </c>
      <c r="I138" s="3">
        <v>20460</v>
      </c>
      <c r="J138" s="3">
        <v>21672</v>
      </c>
      <c r="K138" s="3">
        <v>328</v>
      </c>
      <c r="L138" s="3">
        <v>81</v>
      </c>
      <c r="M138" s="3">
        <v>236</v>
      </c>
      <c r="N138" s="3">
        <v>488</v>
      </c>
      <c r="O138" s="3">
        <v>196</v>
      </c>
      <c r="P138" s="3">
        <v>302</v>
      </c>
      <c r="Q138" s="3">
        <v>121</v>
      </c>
    </row>
    <row r="139" spans="2:17" ht="9">
      <c r="B139" s="9" t="s">
        <v>89</v>
      </c>
      <c r="C139" s="3">
        <v>927</v>
      </c>
      <c r="D139" s="3">
        <v>6171</v>
      </c>
      <c r="E139" s="3">
        <v>758</v>
      </c>
      <c r="F139" s="3">
        <v>539</v>
      </c>
      <c r="G139" s="3">
        <v>1447</v>
      </c>
      <c r="H139" s="3">
        <v>88</v>
      </c>
      <c r="I139" s="3">
        <v>5909</v>
      </c>
      <c r="J139" s="3">
        <v>8929</v>
      </c>
      <c r="K139" s="3">
        <v>171</v>
      </c>
      <c r="L139" s="3">
        <v>33</v>
      </c>
      <c r="M139" s="3">
        <v>102</v>
      </c>
      <c r="N139" s="3">
        <v>177</v>
      </c>
      <c r="O139" s="3">
        <v>55</v>
      </c>
      <c r="P139" s="3">
        <v>108</v>
      </c>
      <c r="Q139" s="3">
        <v>10</v>
      </c>
    </row>
    <row r="140" spans="2:17" ht="9">
      <c r="B140" s="9" t="s">
        <v>90</v>
      </c>
      <c r="C140" s="3">
        <v>173</v>
      </c>
      <c r="D140" s="3">
        <v>2562</v>
      </c>
      <c r="E140" s="3">
        <v>298</v>
      </c>
      <c r="F140" s="3">
        <v>78</v>
      </c>
      <c r="G140" s="3">
        <v>343</v>
      </c>
      <c r="H140" s="3">
        <v>17</v>
      </c>
      <c r="I140" s="3">
        <v>1221</v>
      </c>
      <c r="J140" s="3">
        <v>1322</v>
      </c>
      <c r="K140" s="3">
        <v>19</v>
      </c>
      <c r="L140" s="3">
        <v>5</v>
      </c>
      <c r="M140" s="3">
        <v>32</v>
      </c>
      <c r="N140" s="3">
        <v>41</v>
      </c>
      <c r="O140" s="3">
        <v>30</v>
      </c>
      <c r="P140" s="3">
        <v>28</v>
      </c>
      <c r="Q140" s="3">
        <v>13</v>
      </c>
    </row>
    <row r="141" spans="1:17" ht="9">
      <c r="A141" s="4" t="s">
        <v>34</v>
      </c>
      <c r="C141" s="3">
        <v>3239</v>
      </c>
      <c r="D141" s="3">
        <v>27445</v>
      </c>
      <c r="E141" s="3">
        <v>3780</v>
      </c>
      <c r="F141" s="3">
        <v>2388</v>
      </c>
      <c r="G141" s="3">
        <v>6065</v>
      </c>
      <c r="H141" s="3">
        <v>311</v>
      </c>
      <c r="I141" s="3">
        <v>27590</v>
      </c>
      <c r="J141" s="3">
        <v>31926</v>
      </c>
      <c r="K141" s="3">
        <v>518</v>
      </c>
      <c r="L141" s="3">
        <v>119</v>
      </c>
      <c r="M141" s="3">
        <v>370</v>
      </c>
      <c r="N141" s="3">
        <v>706</v>
      </c>
      <c r="O141" s="3">
        <v>281</v>
      </c>
      <c r="P141" s="3">
        <v>438</v>
      </c>
      <c r="Q141" s="3">
        <v>144</v>
      </c>
    </row>
    <row r="142" spans="2:17" s="6" customFormat="1" ht="9">
      <c r="B142" s="10" t="s">
        <v>120</v>
      </c>
      <c r="C142" s="7">
        <f>C141/36852</f>
        <v>0.08789210897644632</v>
      </c>
      <c r="D142" s="7">
        <f>D141/36852</f>
        <v>0.7447356995549766</v>
      </c>
      <c r="E142" s="7">
        <f>E141/36852</f>
        <v>0.10257245197004233</v>
      </c>
      <c r="F142" s="7">
        <f>F141/36852</f>
        <v>0.06479973949853468</v>
      </c>
      <c r="G142" s="7">
        <f aca="true" t="shared" si="16" ref="G142:M142">G141/66899</f>
        <v>0.0906590531995994</v>
      </c>
      <c r="H142" s="7">
        <f t="shared" si="16"/>
        <v>0.004648798935709054</v>
      </c>
      <c r="I142" s="7">
        <f t="shared" si="16"/>
        <v>0.41241274159553953</v>
      </c>
      <c r="J142" s="7">
        <f t="shared" si="16"/>
        <v>0.4772268643776439</v>
      </c>
      <c r="K142" s="7">
        <f t="shared" si="16"/>
        <v>0.007743015590666527</v>
      </c>
      <c r="L142" s="7">
        <f t="shared" si="16"/>
        <v>0.001778800878936905</v>
      </c>
      <c r="M142" s="7">
        <f t="shared" si="16"/>
        <v>0.0055307254219046625</v>
      </c>
      <c r="N142" s="7">
        <f>N141/706</f>
        <v>1</v>
      </c>
      <c r="O142" s="7">
        <f>O141/281</f>
        <v>1</v>
      </c>
      <c r="P142" s="7">
        <v>1</v>
      </c>
      <c r="Q142" s="7">
        <f>Q141/144</f>
        <v>1</v>
      </c>
    </row>
    <row r="143" spans="2:17" ht="4.5" customHeight="1">
      <c r="B143" s="1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9">
      <c r="A144" s="5" t="s">
        <v>93</v>
      </c>
      <c r="B144" s="1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ht="9">
      <c r="B145" s="9" t="s">
        <v>92</v>
      </c>
      <c r="C145" s="3">
        <v>111</v>
      </c>
      <c r="D145" s="3">
        <v>1398</v>
      </c>
      <c r="E145" s="3">
        <v>169</v>
      </c>
      <c r="F145" s="3">
        <v>133</v>
      </c>
      <c r="G145" s="3">
        <v>597</v>
      </c>
      <c r="H145" s="3">
        <v>24</v>
      </c>
      <c r="I145" s="3">
        <v>988</v>
      </c>
      <c r="J145" s="3">
        <v>1378</v>
      </c>
      <c r="K145" s="3">
        <v>47</v>
      </c>
      <c r="L145" s="3">
        <v>6</v>
      </c>
      <c r="M145" s="3">
        <v>31</v>
      </c>
      <c r="N145" s="3">
        <v>78</v>
      </c>
      <c r="O145" s="3">
        <v>35</v>
      </c>
      <c r="P145" s="3">
        <v>27</v>
      </c>
      <c r="Q145" s="3">
        <v>4</v>
      </c>
    </row>
    <row r="146" spans="2:17" ht="9">
      <c r="B146" s="9" t="s">
        <v>84</v>
      </c>
      <c r="C146" s="3">
        <v>2206</v>
      </c>
      <c r="D146" s="3">
        <v>17527</v>
      </c>
      <c r="E146" s="3">
        <v>2456</v>
      </c>
      <c r="F146" s="3">
        <v>1444</v>
      </c>
      <c r="G146" s="3">
        <v>13218</v>
      </c>
      <c r="H146" s="3">
        <v>262</v>
      </c>
      <c r="I146" s="3">
        <v>12326</v>
      </c>
      <c r="J146" s="3">
        <v>28251</v>
      </c>
      <c r="K146" s="3">
        <v>471</v>
      </c>
      <c r="L146" s="3">
        <v>90</v>
      </c>
      <c r="M146" s="3">
        <v>268</v>
      </c>
      <c r="N146" s="3">
        <v>746</v>
      </c>
      <c r="O146" s="3">
        <v>136</v>
      </c>
      <c r="P146" s="3">
        <v>304</v>
      </c>
      <c r="Q146" s="3">
        <v>23</v>
      </c>
    </row>
    <row r="147" spans="2:17" ht="9">
      <c r="B147" s="9" t="s">
        <v>89</v>
      </c>
      <c r="C147" s="3">
        <v>503</v>
      </c>
      <c r="D147" s="3">
        <v>3632</v>
      </c>
      <c r="E147" s="3">
        <v>541</v>
      </c>
      <c r="F147" s="3">
        <v>387</v>
      </c>
      <c r="G147" s="3">
        <v>877</v>
      </c>
      <c r="H147" s="3">
        <v>58</v>
      </c>
      <c r="I147" s="3">
        <v>2453</v>
      </c>
      <c r="J147" s="3">
        <v>3579</v>
      </c>
      <c r="K147" s="3">
        <v>137</v>
      </c>
      <c r="L147" s="3">
        <v>22</v>
      </c>
      <c r="M147" s="3">
        <v>103</v>
      </c>
      <c r="N147" s="3">
        <v>169</v>
      </c>
      <c r="O147" s="3">
        <v>43</v>
      </c>
      <c r="P147" s="3">
        <v>78</v>
      </c>
      <c r="Q147" s="3">
        <v>7</v>
      </c>
    </row>
    <row r="148" spans="2:17" ht="9">
      <c r="B148" s="9" t="s">
        <v>86</v>
      </c>
      <c r="C148" s="3">
        <v>992</v>
      </c>
      <c r="D148" s="3">
        <v>8368</v>
      </c>
      <c r="E148" s="3">
        <v>937</v>
      </c>
      <c r="F148" s="3">
        <v>643</v>
      </c>
      <c r="G148" s="3">
        <v>15216</v>
      </c>
      <c r="H148" s="3">
        <v>77</v>
      </c>
      <c r="I148" s="3">
        <v>1760</v>
      </c>
      <c r="J148" s="3">
        <v>6779</v>
      </c>
      <c r="K148" s="3">
        <v>174</v>
      </c>
      <c r="L148" s="3">
        <v>46</v>
      </c>
      <c r="M148" s="3">
        <v>69</v>
      </c>
      <c r="N148" s="3">
        <v>181</v>
      </c>
      <c r="O148" s="3">
        <v>76</v>
      </c>
      <c r="P148" s="3">
        <v>64</v>
      </c>
      <c r="Q148" s="3">
        <v>6</v>
      </c>
    </row>
    <row r="149" spans="1:17" ht="9">
      <c r="A149" s="4" t="s">
        <v>34</v>
      </c>
      <c r="C149" s="3">
        <v>3812</v>
      </c>
      <c r="D149" s="3">
        <v>30925</v>
      </c>
      <c r="E149" s="3">
        <v>4103</v>
      </c>
      <c r="F149" s="3">
        <v>2607</v>
      </c>
      <c r="G149" s="3">
        <v>29908</v>
      </c>
      <c r="H149" s="3">
        <v>421</v>
      </c>
      <c r="I149" s="3">
        <v>17527</v>
      </c>
      <c r="J149" s="3">
        <v>39987</v>
      </c>
      <c r="K149" s="3">
        <v>829</v>
      </c>
      <c r="L149" s="3">
        <v>164</v>
      </c>
      <c r="M149" s="3">
        <v>471</v>
      </c>
      <c r="N149" s="3">
        <v>1174</v>
      </c>
      <c r="O149" s="3">
        <v>290</v>
      </c>
      <c r="P149" s="3">
        <v>473</v>
      </c>
      <c r="Q149" s="3">
        <v>40</v>
      </c>
    </row>
    <row r="150" spans="2:17" s="6" customFormat="1" ht="9">
      <c r="B150" s="10" t="s">
        <v>120</v>
      </c>
      <c r="C150" s="7">
        <f>C149/41447</f>
        <v>0.09197288102878375</v>
      </c>
      <c r="D150" s="7">
        <f>D149/41447</f>
        <v>0.7461336164257968</v>
      </c>
      <c r="E150" s="7">
        <f>E149/41447</f>
        <v>0.09899389581875648</v>
      </c>
      <c r="F150" s="7">
        <f>F149/41447</f>
        <v>0.06289960672666296</v>
      </c>
      <c r="G150" s="7">
        <f aca="true" t="shared" si="17" ref="G150:M150">G149/89307</f>
        <v>0.3348897622806723</v>
      </c>
      <c r="H150" s="7">
        <f t="shared" si="17"/>
        <v>0.0047140761642424445</v>
      </c>
      <c r="I150" s="7">
        <f t="shared" si="17"/>
        <v>0.1962556126619414</v>
      </c>
      <c r="J150" s="7">
        <f t="shared" si="17"/>
        <v>0.4477476569585811</v>
      </c>
      <c r="K150" s="7">
        <f t="shared" si="17"/>
        <v>0.00928258703125175</v>
      </c>
      <c r="L150" s="7">
        <f t="shared" si="17"/>
        <v>0.0018363622112488383</v>
      </c>
      <c r="M150" s="7">
        <f t="shared" si="17"/>
        <v>0.0052739426920622124</v>
      </c>
      <c r="N150" s="7">
        <f>N149/1174</f>
        <v>1</v>
      </c>
      <c r="O150" s="7">
        <f>O149/290</f>
        <v>1</v>
      </c>
      <c r="P150" s="7">
        <v>1</v>
      </c>
      <c r="Q150" s="7">
        <f>Q149/40</f>
        <v>1</v>
      </c>
    </row>
    <row r="151" spans="2:17" ht="4.5" customHeight="1">
      <c r="B151" s="1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9">
      <c r="A152" s="5" t="s">
        <v>94</v>
      </c>
      <c r="B152" s="1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9">
      <c r="B153" s="9" t="s">
        <v>88</v>
      </c>
      <c r="C153" s="3">
        <v>130</v>
      </c>
      <c r="D153" s="3">
        <v>1208</v>
      </c>
      <c r="E153" s="3">
        <v>187</v>
      </c>
      <c r="F153" s="3">
        <v>126</v>
      </c>
      <c r="G153" s="3">
        <v>249</v>
      </c>
      <c r="H153" s="3">
        <v>6</v>
      </c>
      <c r="I153" s="3">
        <v>1811</v>
      </c>
      <c r="J153" s="3">
        <v>1953</v>
      </c>
      <c r="K153" s="3">
        <v>11</v>
      </c>
      <c r="L153" s="3">
        <v>3</v>
      </c>
      <c r="M153" s="3">
        <v>11</v>
      </c>
      <c r="N153" s="3">
        <v>26</v>
      </c>
      <c r="O153" s="3">
        <v>11</v>
      </c>
      <c r="P153" s="3">
        <v>15</v>
      </c>
      <c r="Q153" s="3">
        <v>5</v>
      </c>
    </row>
    <row r="154" spans="2:17" ht="9">
      <c r="B154" s="9" t="s">
        <v>82</v>
      </c>
      <c r="C154" s="3">
        <v>1332</v>
      </c>
      <c r="D154" s="3">
        <v>18381</v>
      </c>
      <c r="E154" s="3">
        <v>1537</v>
      </c>
      <c r="F154" s="3">
        <v>782</v>
      </c>
      <c r="G154" s="3">
        <v>3026</v>
      </c>
      <c r="H154" s="3">
        <v>124</v>
      </c>
      <c r="I154" s="3">
        <v>10777</v>
      </c>
      <c r="J154" s="3">
        <v>13032</v>
      </c>
      <c r="K154" s="3">
        <v>144</v>
      </c>
      <c r="L154" s="3">
        <v>85</v>
      </c>
      <c r="M154" s="3">
        <v>121</v>
      </c>
      <c r="N154" s="3">
        <v>207</v>
      </c>
      <c r="O154" s="3">
        <v>665</v>
      </c>
      <c r="P154" s="3">
        <v>214</v>
      </c>
      <c r="Q154" s="3">
        <v>54</v>
      </c>
    </row>
    <row r="155" spans="2:17" ht="9">
      <c r="B155" s="9" t="s">
        <v>90</v>
      </c>
      <c r="C155" s="3">
        <v>2035</v>
      </c>
      <c r="D155" s="3">
        <v>26829</v>
      </c>
      <c r="E155" s="3">
        <v>2562</v>
      </c>
      <c r="F155" s="3">
        <v>1445</v>
      </c>
      <c r="G155" s="3">
        <v>5350</v>
      </c>
      <c r="H155" s="3">
        <v>247</v>
      </c>
      <c r="I155" s="3">
        <v>23921</v>
      </c>
      <c r="J155" s="3">
        <v>25672</v>
      </c>
      <c r="K155" s="3">
        <v>283</v>
      </c>
      <c r="L155" s="3">
        <v>78</v>
      </c>
      <c r="M155" s="3">
        <v>337</v>
      </c>
      <c r="N155" s="3">
        <v>463</v>
      </c>
      <c r="O155" s="3">
        <v>553</v>
      </c>
      <c r="P155" s="3">
        <v>434</v>
      </c>
      <c r="Q155" s="3">
        <v>56</v>
      </c>
    </row>
    <row r="156" spans="1:17" ht="9">
      <c r="A156" s="4" t="s">
        <v>34</v>
      </c>
      <c r="C156" s="3">
        <v>3497</v>
      </c>
      <c r="D156" s="3">
        <v>46418</v>
      </c>
      <c r="E156" s="3">
        <v>4286</v>
      </c>
      <c r="F156" s="3">
        <v>2353</v>
      </c>
      <c r="G156" s="3">
        <v>8625</v>
      </c>
      <c r="H156" s="3">
        <v>377</v>
      </c>
      <c r="I156" s="3">
        <v>36509</v>
      </c>
      <c r="J156" s="3">
        <v>40657</v>
      </c>
      <c r="K156" s="3">
        <v>438</v>
      </c>
      <c r="L156" s="3">
        <v>166</v>
      </c>
      <c r="M156" s="3">
        <v>469</v>
      </c>
      <c r="N156" s="3">
        <v>696</v>
      </c>
      <c r="O156" s="3">
        <v>1229</v>
      </c>
      <c r="P156" s="3">
        <v>663</v>
      </c>
      <c r="Q156" s="3">
        <v>115</v>
      </c>
    </row>
    <row r="157" spans="2:17" s="6" customFormat="1" ht="9">
      <c r="B157" s="10" t="s">
        <v>120</v>
      </c>
      <c r="C157" s="7">
        <f>C156/56554</f>
        <v>0.06183470665204937</v>
      </c>
      <c r="D157" s="7">
        <f>D156/56554</f>
        <v>0.8207730664497648</v>
      </c>
      <c r="E157" s="7">
        <f>E156/56554</f>
        <v>0.0757859744668812</v>
      </c>
      <c r="F157" s="7">
        <f>F156/56554</f>
        <v>0.04160625243130459</v>
      </c>
      <c r="G157" s="7">
        <f aca="true" t="shared" si="18" ref="G157:M157">G156/87241</f>
        <v>0.09886406620740248</v>
      </c>
      <c r="H157" s="7">
        <f t="shared" si="18"/>
        <v>0.0043213626620511</v>
      </c>
      <c r="I157" s="7">
        <f t="shared" si="18"/>
        <v>0.41848442819316606</v>
      </c>
      <c r="J157" s="7">
        <f t="shared" si="18"/>
        <v>0.466030879976158</v>
      </c>
      <c r="K157" s="7">
        <f t="shared" si="18"/>
        <v>0.0050205751882715696</v>
      </c>
      <c r="L157" s="7">
        <f t="shared" si="18"/>
        <v>0.0019027750713540652</v>
      </c>
      <c r="M157" s="7">
        <f t="shared" si="18"/>
        <v>0.005375912701596726</v>
      </c>
      <c r="N157" s="7">
        <f>N156/696</f>
        <v>1</v>
      </c>
      <c r="O157" s="7">
        <f>O156/1229</f>
        <v>1</v>
      </c>
      <c r="P157" s="7">
        <f>P156/663</f>
        <v>1</v>
      </c>
      <c r="Q157" s="7">
        <f>Q156/115</f>
        <v>1</v>
      </c>
    </row>
    <row r="158" spans="2:17" ht="4.5" customHeight="1">
      <c r="B158" s="1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9">
      <c r="A159" s="5" t="s">
        <v>95</v>
      </c>
      <c r="B159" s="1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9">
      <c r="B160" s="9" t="s">
        <v>88</v>
      </c>
      <c r="C160" s="3">
        <v>2577</v>
      </c>
      <c r="D160" s="3">
        <v>33253</v>
      </c>
      <c r="E160" s="3">
        <v>3651</v>
      </c>
      <c r="F160" s="3">
        <v>1711</v>
      </c>
      <c r="G160" s="3">
        <v>2099</v>
      </c>
      <c r="H160" s="3">
        <v>99</v>
      </c>
      <c r="I160" s="3">
        <v>9929</v>
      </c>
      <c r="J160" s="3">
        <v>9827</v>
      </c>
      <c r="K160" s="3">
        <v>189</v>
      </c>
      <c r="L160" s="3">
        <v>54</v>
      </c>
      <c r="M160" s="3">
        <v>171</v>
      </c>
      <c r="N160" s="3">
        <v>400</v>
      </c>
      <c r="O160" s="3">
        <v>242</v>
      </c>
      <c r="P160" s="3">
        <v>231</v>
      </c>
      <c r="Q160" s="3">
        <v>208</v>
      </c>
    </row>
    <row r="161" spans="1:17" ht="9">
      <c r="A161" s="4" t="s">
        <v>34</v>
      </c>
      <c r="C161" s="3">
        <v>2577</v>
      </c>
      <c r="D161" s="3">
        <v>33253</v>
      </c>
      <c r="E161" s="3">
        <v>3651</v>
      </c>
      <c r="F161" s="3">
        <v>1711</v>
      </c>
      <c r="G161" s="3">
        <v>2099</v>
      </c>
      <c r="H161" s="3">
        <v>99</v>
      </c>
      <c r="I161" s="3">
        <v>9929</v>
      </c>
      <c r="J161" s="3">
        <v>9827</v>
      </c>
      <c r="K161" s="3">
        <v>189</v>
      </c>
      <c r="L161" s="3">
        <v>54</v>
      </c>
      <c r="M161" s="3">
        <v>171</v>
      </c>
      <c r="N161" s="3">
        <v>400</v>
      </c>
      <c r="O161" s="3">
        <v>242</v>
      </c>
      <c r="P161" s="3">
        <v>231</v>
      </c>
      <c r="Q161" s="3">
        <v>208</v>
      </c>
    </row>
    <row r="162" spans="2:17" s="6" customFormat="1" ht="9">
      <c r="B162" s="10" t="s">
        <v>120</v>
      </c>
      <c r="C162" s="7">
        <f>C161/41192</f>
        <v>0.06256069139638765</v>
      </c>
      <c r="D162" s="7">
        <f>D161/41192</f>
        <v>0.8072684016313847</v>
      </c>
      <c r="E162" s="7">
        <f>E161/41192</f>
        <v>0.08863371528452127</v>
      </c>
      <c r="F162" s="7">
        <f>F161/41192</f>
        <v>0.04153719168770635</v>
      </c>
      <c r="G162" s="7">
        <f aca="true" t="shared" si="19" ref="G162:M162">G161/22368</f>
        <v>0.09383941344778254</v>
      </c>
      <c r="H162" s="7">
        <f t="shared" si="19"/>
        <v>0.004425965665236052</v>
      </c>
      <c r="I162" s="7">
        <f t="shared" si="19"/>
        <v>0.4438930615164521</v>
      </c>
      <c r="J162" s="7">
        <f t="shared" si="19"/>
        <v>0.4393329756795422</v>
      </c>
      <c r="K162" s="7">
        <f t="shared" si="19"/>
        <v>0.008449570815450645</v>
      </c>
      <c r="L162" s="7">
        <f t="shared" si="19"/>
        <v>0.0024141630901287556</v>
      </c>
      <c r="M162" s="7">
        <f t="shared" si="19"/>
        <v>0.007644849785407725</v>
      </c>
      <c r="N162" s="7">
        <f>N161/400</f>
        <v>1</v>
      </c>
      <c r="O162" s="7">
        <f>O161/242</f>
        <v>1</v>
      </c>
      <c r="P162" s="7">
        <f>P161/231</f>
        <v>1</v>
      </c>
      <c r="Q162" s="7">
        <f>Q161/208</f>
        <v>1</v>
      </c>
    </row>
    <row r="163" spans="2:17" ht="4.5" customHeight="1">
      <c r="B163" s="1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9">
      <c r="A164" s="5" t="s">
        <v>96</v>
      </c>
      <c r="B164" s="1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ht="9">
      <c r="B165" s="9" t="s">
        <v>88</v>
      </c>
      <c r="C165" s="3">
        <v>2973</v>
      </c>
      <c r="D165" s="3">
        <v>42372</v>
      </c>
      <c r="E165" s="3">
        <v>4058</v>
      </c>
      <c r="F165" s="3">
        <v>2400</v>
      </c>
      <c r="G165" s="3">
        <v>4079</v>
      </c>
      <c r="H165" s="3">
        <v>251</v>
      </c>
      <c r="I165" s="3">
        <v>25079</v>
      </c>
      <c r="J165" s="3">
        <v>20671</v>
      </c>
      <c r="K165" s="3">
        <v>287</v>
      </c>
      <c r="L165" s="3">
        <v>105</v>
      </c>
      <c r="M165" s="3">
        <v>282</v>
      </c>
      <c r="N165" s="3">
        <v>425</v>
      </c>
      <c r="O165" s="3">
        <v>639</v>
      </c>
      <c r="P165" s="3">
        <v>432</v>
      </c>
      <c r="Q165" s="3">
        <v>187</v>
      </c>
    </row>
    <row r="166" spans="1:17" ht="9">
      <c r="A166" s="4" t="s">
        <v>34</v>
      </c>
      <c r="C166" s="3">
        <v>2973</v>
      </c>
      <c r="D166" s="3">
        <v>42372</v>
      </c>
      <c r="E166" s="3">
        <v>4058</v>
      </c>
      <c r="F166" s="3">
        <v>2400</v>
      </c>
      <c r="G166" s="3">
        <v>4079</v>
      </c>
      <c r="H166" s="3">
        <v>251</v>
      </c>
      <c r="I166" s="3">
        <v>25079</v>
      </c>
      <c r="J166" s="3">
        <v>20671</v>
      </c>
      <c r="K166" s="3">
        <v>287</v>
      </c>
      <c r="L166" s="3">
        <v>105</v>
      </c>
      <c r="M166" s="3">
        <v>282</v>
      </c>
      <c r="N166" s="3">
        <v>425</v>
      </c>
      <c r="O166" s="3">
        <v>639</v>
      </c>
      <c r="P166" s="3">
        <v>432</v>
      </c>
      <c r="Q166" s="3">
        <v>187</v>
      </c>
    </row>
    <row r="167" spans="2:17" s="6" customFormat="1" ht="9">
      <c r="B167" s="10" t="s">
        <v>120</v>
      </c>
      <c r="C167" s="7">
        <f>C166/51803</f>
        <v>0.05739049861977106</v>
      </c>
      <c r="D167" s="7">
        <f>D166/51803</f>
        <v>0.8179449066656371</v>
      </c>
      <c r="E167" s="7">
        <f>E166/51803</f>
        <v>0.07833523155029631</v>
      </c>
      <c r="F167" s="7">
        <f>F166/51803</f>
        <v>0.046329363164295506</v>
      </c>
      <c r="G167" s="7">
        <f aca="true" t="shared" si="20" ref="G167:M167">G166/50754</f>
        <v>0.08036804980888206</v>
      </c>
      <c r="H167" s="7">
        <f t="shared" si="20"/>
        <v>0.004945423020845647</v>
      </c>
      <c r="I167" s="7">
        <f t="shared" si="20"/>
        <v>0.49412854159278086</v>
      </c>
      <c r="J167" s="7">
        <f t="shared" si="20"/>
        <v>0.40727824407928437</v>
      </c>
      <c r="K167" s="7">
        <f t="shared" si="20"/>
        <v>0.005654726721046617</v>
      </c>
      <c r="L167" s="7">
        <f t="shared" si="20"/>
        <v>0.002068802458919494</v>
      </c>
      <c r="M167" s="7">
        <f t="shared" si="20"/>
        <v>0.005556212318240927</v>
      </c>
      <c r="N167" s="7">
        <f>N166/425</f>
        <v>1</v>
      </c>
      <c r="O167" s="7">
        <f>O166/639</f>
        <v>1</v>
      </c>
      <c r="P167" s="7">
        <v>1</v>
      </c>
      <c r="Q167" s="7">
        <f>Q166/187</f>
        <v>1</v>
      </c>
    </row>
    <row r="168" spans="2:17" ht="4.5" customHeight="1">
      <c r="B168" s="1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9">
      <c r="A169" s="5" t="s">
        <v>97</v>
      </c>
      <c r="B169" s="1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ht="9">
      <c r="B170" s="9" t="s">
        <v>88</v>
      </c>
      <c r="C170" s="3">
        <v>1551</v>
      </c>
      <c r="D170" s="3">
        <v>29592</v>
      </c>
      <c r="E170" s="3">
        <v>3203</v>
      </c>
      <c r="F170" s="3">
        <v>992</v>
      </c>
      <c r="G170" s="3">
        <v>971</v>
      </c>
      <c r="H170" s="3">
        <v>83</v>
      </c>
      <c r="I170" s="3">
        <v>6431</v>
      </c>
      <c r="J170" s="3">
        <v>4124</v>
      </c>
      <c r="K170" s="3">
        <v>122</v>
      </c>
      <c r="L170" s="3">
        <v>49</v>
      </c>
      <c r="M170" s="3">
        <v>99</v>
      </c>
      <c r="N170" s="3">
        <v>293</v>
      </c>
      <c r="O170" s="3">
        <v>219</v>
      </c>
      <c r="P170" s="3">
        <v>116</v>
      </c>
      <c r="Q170" s="3">
        <v>145</v>
      </c>
    </row>
    <row r="171" spans="1:17" ht="9">
      <c r="A171" s="4" t="s">
        <v>34</v>
      </c>
      <c r="C171" s="3">
        <v>1551</v>
      </c>
      <c r="D171" s="3">
        <v>29592</v>
      </c>
      <c r="E171" s="3">
        <v>3203</v>
      </c>
      <c r="F171" s="3">
        <v>992</v>
      </c>
      <c r="G171" s="3">
        <v>971</v>
      </c>
      <c r="H171" s="3">
        <v>83</v>
      </c>
      <c r="I171" s="3">
        <v>6431</v>
      </c>
      <c r="J171" s="3">
        <v>4124</v>
      </c>
      <c r="K171" s="3">
        <v>122</v>
      </c>
      <c r="L171" s="3">
        <v>49</v>
      </c>
      <c r="M171" s="3">
        <v>99</v>
      </c>
      <c r="N171" s="3">
        <v>293</v>
      </c>
      <c r="O171" s="3">
        <v>219</v>
      </c>
      <c r="P171" s="3">
        <v>116</v>
      </c>
      <c r="Q171" s="3">
        <v>145</v>
      </c>
    </row>
    <row r="172" spans="2:17" s="6" customFormat="1" ht="9">
      <c r="B172" s="10" t="s">
        <v>120</v>
      </c>
      <c r="C172" s="7">
        <f>C171/35338</f>
        <v>0.04389042956590639</v>
      </c>
      <c r="D172" s="7">
        <f>D171/35338</f>
        <v>0.8373988341162488</v>
      </c>
      <c r="E172" s="7">
        <f>E171/35338</f>
        <v>0.09063897221121739</v>
      </c>
      <c r="F172" s="7">
        <f>F171/35338</f>
        <v>0.028071764106627428</v>
      </c>
      <c r="G172" s="7">
        <f aca="true" t="shared" si="21" ref="G172:M172">G171/11879</f>
        <v>0.08174088728007409</v>
      </c>
      <c r="H172" s="7">
        <f t="shared" si="21"/>
        <v>0.006987120127956899</v>
      </c>
      <c r="I172" s="7">
        <f t="shared" si="21"/>
        <v>0.5413755366613351</v>
      </c>
      <c r="J172" s="7">
        <f t="shared" si="21"/>
        <v>0.34716726997221986</v>
      </c>
      <c r="K172" s="7">
        <f t="shared" si="21"/>
        <v>0.010270224766394477</v>
      </c>
      <c r="L172" s="7">
        <f t="shared" si="21"/>
        <v>0.0041249263406010605</v>
      </c>
      <c r="M172" s="7">
        <f t="shared" si="21"/>
        <v>0.00833403485141847</v>
      </c>
      <c r="N172" s="7">
        <f>N171/293</f>
        <v>1</v>
      </c>
      <c r="O172" s="7">
        <f>O171/219</f>
        <v>1</v>
      </c>
      <c r="P172" s="7">
        <v>1</v>
      </c>
      <c r="Q172" s="7">
        <f>Q171/145</f>
        <v>1</v>
      </c>
    </row>
    <row r="173" spans="2:17" ht="4.5" customHeight="1">
      <c r="B173" s="1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9">
      <c r="A174" s="5" t="s">
        <v>98</v>
      </c>
      <c r="B174" s="1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ht="9">
      <c r="B175" s="9" t="s">
        <v>88</v>
      </c>
      <c r="C175" s="3">
        <v>2382</v>
      </c>
      <c r="D175" s="3">
        <v>48164</v>
      </c>
      <c r="E175" s="3">
        <v>3872</v>
      </c>
      <c r="F175" s="3">
        <v>2504</v>
      </c>
      <c r="G175" s="3">
        <v>2741</v>
      </c>
      <c r="H175" s="3">
        <v>144</v>
      </c>
      <c r="I175" s="3">
        <v>24013</v>
      </c>
      <c r="J175" s="3">
        <v>15684</v>
      </c>
      <c r="K175" s="3">
        <v>149</v>
      </c>
      <c r="L175" s="3">
        <v>66</v>
      </c>
      <c r="M175" s="3">
        <v>149</v>
      </c>
      <c r="N175" s="3">
        <v>350</v>
      </c>
      <c r="O175" s="3">
        <v>666</v>
      </c>
      <c r="P175" s="3">
        <v>406</v>
      </c>
      <c r="Q175" s="3">
        <v>148</v>
      </c>
    </row>
    <row r="176" spans="2:17" ht="9">
      <c r="B176" s="9" t="s">
        <v>90</v>
      </c>
      <c r="C176" s="3">
        <v>579</v>
      </c>
      <c r="D176" s="3">
        <v>7598</v>
      </c>
      <c r="E176" s="3">
        <v>739</v>
      </c>
      <c r="F176" s="3">
        <v>284</v>
      </c>
      <c r="G176" s="3">
        <v>832</v>
      </c>
      <c r="H176" s="3">
        <v>45</v>
      </c>
      <c r="I176" s="3">
        <v>3144</v>
      </c>
      <c r="J176" s="3">
        <v>3175</v>
      </c>
      <c r="K176" s="3">
        <v>102</v>
      </c>
      <c r="L176" s="3">
        <v>35</v>
      </c>
      <c r="M176" s="3">
        <v>57</v>
      </c>
      <c r="N176" s="3">
        <v>96</v>
      </c>
      <c r="O176" s="3">
        <v>84</v>
      </c>
      <c r="P176" s="3">
        <v>64</v>
      </c>
      <c r="Q176" s="3">
        <v>10</v>
      </c>
    </row>
    <row r="177" spans="1:17" ht="9">
      <c r="A177" s="4" t="s">
        <v>34</v>
      </c>
      <c r="C177" s="3">
        <v>2961</v>
      </c>
      <c r="D177" s="3">
        <v>55762</v>
      </c>
      <c r="E177" s="3">
        <v>4611</v>
      </c>
      <c r="F177" s="3">
        <v>2788</v>
      </c>
      <c r="G177" s="3">
        <v>3573</v>
      </c>
      <c r="H177" s="3">
        <v>189</v>
      </c>
      <c r="I177" s="3">
        <v>27157</v>
      </c>
      <c r="J177" s="3">
        <v>18859</v>
      </c>
      <c r="K177" s="3">
        <v>251</v>
      </c>
      <c r="L177" s="3">
        <v>101</v>
      </c>
      <c r="M177" s="3">
        <v>206</v>
      </c>
      <c r="N177" s="3">
        <v>446</v>
      </c>
      <c r="O177" s="3">
        <v>750</v>
      </c>
      <c r="P177" s="3">
        <v>470</v>
      </c>
      <c r="Q177" s="3">
        <v>158</v>
      </c>
    </row>
    <row r="178" spans="2:17" s="6" customFormat="1" ht="9">
      <c r="B178" s="10" t="s">
        <v>120</v>
      </c>
      <c r="C178" s="7">
        <f>C177/66122</f>
        <v>0.044780859623120894</v>
      </c>
      <c r="D178" s="7">
        <f>D177/66122</f>
        <v>0.8433199237772602</v>
      </c>
      <c r="E178" s="7">
        <f>E177/66122</f>
        <v>0.06973473276670397</v>
      </c>
      <c r="F178" s="7">
        <f>F177/66122</f>
        <v>0.04216448383291491</v>
      </c>
      <c r="G178" s="7">
        <f aca="true" t="shared" si="22" ref="G178:M178">G177/50336</f>
        <v>0.07098299427844883</v>
      </c>
      <c r="H178" s="7">
        <f t="shared" si="22"/>
        <v>0.003754767959313414</v>
      </c>
      <c r="I178" s="7">
        <f t="shared" si="22"/>
        <v>0.5395144628099173</v>
      </c>
      <c r="J178" s="7">
        <f t="shared" si="22"/>
        <v>0.3746622695486332</v>
      </c>
      <c r="K178" s="7">
        <f t="shared" si="22"/>
        <v>0.004986490781945328</v>
      </c>
      <c r="L178" s="7">
        <f t="shared" si="22"/>
        <v>0.0020065162110616654</v>
      </c>
      <c r="M178" s="7">
        <f t="shared" si="22"/>
        <v>0.0040924984106802285</v>
      </c>
      <c r="N178" s="7">
        <f>N177/446</f>
        <v>1</v>
      </c>
      <c r="O178" s="7">
        <f>O177/750</f>
        <v>1</v>
      </c>
      <c r="P178" s="7">
        <f>P177/470</f>
        <v>1</v>
      </c>
      <c r="Q178" s="7">
        <f>Q177/158</f>
        <v>1</v>
      </c>
    </row>
    <row r="179" spans="2:17" ht="4.5" customHeight="1">
      <c r="B179" s="1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9">
      <c r="A180" s="5" t="s">
        <v>99</v>
      </c>
      <c r="B180" s="1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ht="9">
      <c r="B181" s="9" t="s">
        <v>88</v>
      </c>
      <c r="C181" s="3">
        <v>2392</v>
      </c>
      <c r="D181" s="3">
        <v>29667</v>
      </c>
      <c r="E181" s="3">
        <v>3893</v>
      </c>
      <c r="F181" s="3">
        <v>1140</v>
      </c>
      <c r="G181" s="3">
        <v>2017</v>
      </c>
      <c r="H181" s="3">
        <v>151</v>
      </c>
      <c r="I181" s="3">
        <v>8668</v>
      </c>
      <c r="J181" s="3">
        <v>8273</v>
      </c>
      <c r="K181" s="3">
        <v>186</v>
      </c>
      <c r="L181" s="3">
        <v>98</v>
      </c>
      <c r="M181" s="3">
        <v>157</v>
      </c>
      <c r="N181" s="3">
        <v>336</v>
      </c>
      <c r="O181" s="3">
        <v>133</v>
      </c>
      <c r="P181" s="3">
        <v>123</v>
      </c>
      <c r="Q181" s="3">
        <v>179</v>
      </c>
    </row>
    <row r="182" spans="1:17" ht="9">
      <c r="A182" s="4" t="s">
        <v>34</v>
      </c>
      <c r="C182" s="3">
        <v>2392</v>
      </c>
      <c r="D182" s="3">
        <v>29667</v>
      </c>
      <c r="E182" s="3">
        <v>3893</v>
      </c>
      <c r="F182" s="3">
        <v>1140</v>
      </c>
      <c r="G182" s="3">
        <v>2017</v>
      </c>
      <c r="H182" s="3">
        <v>151</v>
      </c>
      <c r="I182" s="3">
        <v>8668</v>
      </c>
      <c r="J182" s="3">
        <v>8273</v>
      </c>
      <c r="K182" s="3">
        <v>186</v>
      </c>
      <c r="L182" s="3">
        <v>98</v>
      </c>
      <c r="M182" s="3">
        <v>157</v>
      </c>
      <c r="N182" s="3">
        <v>336</v>
      </c>
      <c r="O182" s="3">
        <v>133</v>
      </c>
      <c r="P182" s="3">
        <v>123</v>
      </c>
      <c r="Q182" s="3">
        <v>179</v>
      </c>
    </row>
    <row r="183" spans="2:17" s="6" customFormat="1" ht="9">
      <c r="B183" s="10" t="s">
        <v>120</v>
      </c>
      <c r="C183" s="7">
        <f>C182/37092</f>
        <v>0.0644882993637442</v>
      </c>
      <c r="D183" s="7">
        <f>D182/37092</f>
        <v>0.7998220640569395</v>
      </c>
      <c r="E183" s="7">
        <f>E182/37092</f>
        <v>0.10495524641432115</v>
      </c>
      <c r="F183" s="7">
        <f>F182/37092</f>
        <v>0.030734390164995146</v>
      </c>
      <c r="G183" s="7">
        <f aca="true" t="shared" si="23" ref="G183:M183">G182/19550</f>
        <v>0.10317135549872122</v>
      </c>
      <c r="H183" s="7">
        <f t="shared" si="23"/>
        <v>0.007723785166240409</v>
      </c>
      <c r="I183" s="7">
        <f t="shared" si="23"/>
        <v>0.4433759590792839</v>
      </c>
      <c r="J183" s="7">
        <f t="shared" si="23"/>
        <v>0.4231713554987212</v>
      </c>
      <c r="K183" s="7">
        <f t="shared" si="23"/>
        <v>0.009514066496163683</v>
      </c>
      <c r="L183" s="7">
        <f t="shared" si="23"/>
        <v>0.005012787723785167</v>
      </c>
      <c r="M183" s="7">
        <f t="shared" si="23"/>
        <v>0.0080306905370844</v>
      </c>
      <c r="N183" s="7">
        <f>N182/336</f>
        <v>1</v>
      </c>
      <c r="O183" s="7">
        <f>O182/133</f>
        <v>1</v>
      </c>
      <c r="P183" s="7">
        <v>1</v>
      </c>
      <c r="Q183" s="7">
        <f>Q182/179</f>
        <v>1</v>
      </c>
    </row>
    <row r="184" spans="2:17" ht="4.5" customHeight="1">
      <c r="B184" s="1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9">
      <c r="A185" s="5" t="s">
        <v>100</v>
      </c>
      <c r="B185" s="1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ht="9">
      <c r="B186" s="9" t="s">
        <v>88</v>
      </c>
      <c r="C186" s="3">
        <v>2211</v>
      </c>
      <c r="D186" s="3">
        <v>42594</v>
      </c>
      <c r="E186" s="3">
        <v>2830</v>
      </c>
      <c r="F186" s="3">
        <v>1662</v>
      </c>
      <c r="G186" s="3">
        <v>2075</v>
      </c>
      <c r="H186" s="3">
        <v>104</v>
      </c>
      <c r="I186" s="3">
        <v>11972</v>
      </c>
      <c r="J186" s="3">
        <v>9293</v>
      </c>
      <c r="K186" s="3">
        <v>138</v>
      </c>
      <c r="L186" s="3">
        <v>48</v>
      </c>
      <c r="M186" s="3">
        <v>142</v>
      </c>
      <c r="N186" s="3">
        <v>311</v>
      </c>
      <c r="O186" s="3">
        <v>140</v>
      </c>
      <c r="P186" s="3">
        <v>180</v>
      </c>
      <c r="Q186" s="3">
        <v>183</v>
      </c>
    </row>
    <row r="187" spans="1:17" ht="9">
      <c r="A187" s="4" t="s">
        <v>34</v>
      </c>
      <c r="C187" s="3">
        <v>2211</v>
      </c>
      <c r="D187" s="3">
        <v>42594</v>
      </c>
      <c r="E187" s="3">
        <v>2830</v>
      </c>
      <c r="F187" s="3">
        <v>1662</v>
      </c>
      <c r="G187" s="3">
        <v>2075</v>
      </c>
      <c r="H187" s="3">
        <v>104</v>
      </c>
      <c r="I187" s="3">
        <v>11972</v>
      </c>
      <c r="J187" s="3">
        <v>9293</v>
      </c>
      <c r="K187" s="3">
        <v>138</v>
      </c>
      <c r="L187" s="3">
        <v>48</v>
      </c>
      <c r="M187" s="3">
        <v>142</v>
      </c>
      <c r="N187" s="3">
        <v>311</v>
      </c>
      <c r="O187" s="3">
        <v>140</v>
      </c>
      <c r="P187" s="3">
        <v>180</v>
      </c>
      <c r="Q187" s="3">
        <v>183</v>
      </c>
    </row>
    <row r="188" spans="2:17" s="6" customFormat="1" ht="9">
      <c r="B188" s="10" t="s">
        <v>120</v>
      </c>
      <c r="C188" s="7">
        <f>C187/49297</f>
        <v>0.04485059942795708</v>
      </c>
      <c r="D188" s="7">
        <f>D187/49297</f>
        <v>0.8640282370123943</v>
      </c>
      <c r="E188" s="7">
        <f>E187/49297</f>
        <v>0.05740714445098079</v>
      </c>
      <c r="F188" s="7">
        <f>F187/49297</f>
        <v>0.03371401910866787</v>
      </c>
      <c r="G188" s="7">
        <f aca="true" t="shared" si="24" ref="G188:M188">G187/23772</f>
        <v>0.08728756520275954</v>
      </c>
      <c r="H188" s="7">
        <f t="shared" si="24"/>
        <v>0.004374894834258792</v>
      </c>
      <c r="I188" s="7">
        <f t="shared" si="24"/>
        <v>0.5036177014975601</v>
      </c>
      <c r="J188" s="7">
        <f t="shared" si="24"/>
        <v>0.390922093218913</v>
      </c>
      <c r="K188" s="7">
        <f t="shared" si="24"/>
        <v>0.005805148914689551</v>
      </c>
      <c r="L188" s="7">
        <f t="shared" si="24"/>
        <v>0.0020191822311963654</v>
      </c>
      <c r="M188" s="7">
        <f t="shared" si="24"/>
        <v>0.005973414100622581</v>
      </c>
      <c r="N188" s="7">
        <f>N187/311</f>
        <v>1</v>
      </c>
      <c r="O188" s="7">
        <f>O187/140</f>
        <v>1</v>
      </c>
      <c r="P188" s="7">
        <v>1</v>
      </c>
      <c r="Q188" s="7">
        <f>Q187/183</f>
        <v>1</v>
      </c>
    </row>
    <row r="189" spans="2:17" ht="4.5" customHeight="1">
      <c r="B189" s="1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9">
      <c r="A190" s="5" t="s">
        <v>101</v>
      </c>
      <c r="B190" s="1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9">
      <c r="B191" s="9" t="s">
        <v>88</v>
      </c>
      <c r="C191" s="3">
        <v>2013</v>
      </c>
      <c r="D191" s="3">
        <v>57401</v>
      </c>
      <c r="E191" s="3">
        <v>2930</v>
      </c>
      <c r="F191" s="3">
        <v>1991</v>
      </c>
      <c r="G191" s="3">
        <v>1054</v>
      </c>
      <c r="H191" s="3">
        <v>73</v>
      </c>
      <c r="I191" s="3">
        <v>7747</v>
      </c>
      <c r="J191" s="3">
        <v>4327</v>
      </c>
      <c r="K191" s="3">
        <v>123</v>
      </c>
      <c r="L191" s="3">
        <v>52</v>
      </c>
      <c r="M191" s="3">
        <v>83</v>
      </c>
      <c r="N191" s="3">
        <v>248</v>
      </c>
      <c r="O191" s="3">
        <v>432</v>
      </c>
      <c r="P191" s="3">
        <v>211</v>
      </c>
      <c r="Q191" s="3">
        <v>200</v>
      </c>
    </row>
    <row r="192" spans="1:17" ht="9">
      <c r="A192" s="4" t="s">
        <v>34</v>
      </c>
      <c r="C192" s="3">
        <v>2013</v>
      </c>
      <c r="D192" s="3">
        <v>57401</v>
      </c>
      <c r="E192" s="3">
        <v>2930</v>
      </c>
      <c r="F192" s="3">
        <v>1991</v>
      </c>
      <c r="G192" s="3">
        <v>1054</v>
      </c>
      <c r="H192" s="3">
        <v>73</v>
      </c>
      <c r="I192" s="3">
        <v>7747</v>
      </c>
      <c r="J192" s="3">
        <v>4327</v>
      </c>
      <c r="K192" s="3">
        <v>123</v>
      </c>
      <c r="L192" s="3">
        <v>52</v>
      </c>
      <c r="M192" s="3">
        <v>83</v>
      </c>
      <c r="N192" s="3">
        <v>248</v>
      </c>
      <c r="O192" s="3">
        <v>432</v>
      </c>
      <c r="P192" s="3">
        <v>211</v>
      </c>
      <c r="Q192" s="3">
        <v>200</v>
      </c>
    </row>
    <row r="193" spans="2:17" s="6" customFormat="1" ht="9">
      <c r="B193" s="10" t="s">
        <v>120</v>
      </c>
      <c r="C193" s="7">
        <f>C192/64335</f>
        <v>0.03128934483562602</v>
      </c>
      <c r="D193" s="7">
        <f>D192/64335</f>
        <v>0.8922204087976996</v>
      </c>
      <c r="E193" s="7">
        <f>E192/64335</f>
        <v>0.04554286158389679</v>
      </c>
      <c r="F193" s="7">
        <f>F192/64335</f>
        <v>0.03094738478277765</v>
      </c>
      <c r="G193" s="7">
        <f aca="true" t="shared" si="25" ref="G193:M193">G192/13459</f>
        <v>0.07831191024593209</v>
      </c>
      <c r="H193" s="7">
        <f t="shared" si="25"/>
        <v>0.005423879931644253</v>
      </c>
      <c r="I193" s="7">
        <f t="shared" si="25"/>
        <v>0.57559997028011</v>
      </c>
      <c r="J193" s="7">
        <f t="shared" si="25"/>
        <v>0.3214949104688313</v>
      </c>
      <c r="K193" s="7">
        <f t="shared" si="25"/>
        <v>0.00913886618619511</v>
      </c>
      <c r="L193" s="7">
        <f t="shared" si="25"/>
        <v>0.0038635857047328924</v>
      </c>
      <c r="M193" s="7">
        <f t="shared" si="25"/>
        <v>0.006166877182554424</v>
      </c>
      <c r="N193" s="7">
        <f>N192/248</f>
        <v>1</v>
      </c>
      <c r="O193" s="7">
        <f>O192/432</f>
        <v>1</v>
      </c>
      <c r="P193" s="7">
        <v>1</v>
      </c>
      <c r="Q193" s="7">
        <f>Q192/200</f>
        <v>1</v>
      </c>
    </row>
    <row r="194" spans="2:17" ht="4.5" customHeight="1">
      <c r="B194" s="1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9">
      <c r="A195" s="5" t="s">
        <v>102</v>
      </c>
      <c r="B195" s="1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ht="9">
      <c r="B196" s="9" t="s">
        <v>88</v>
      </c>
      <c r="C196" s="3">
        <v>2803</v>
      </c>
      <c r="D196" s="3">
        <v>33480</v>
      </c>
      <c r="E196" s="3">
        <v>3779</v>
      </c>
      <c r="F196" s="3">
        <v>2292</v>
      </c>
      <c r="G196" s="3">
        <v>3650</v>
      </c>
      <c r="H196" s="3">
        <v>159</v>
      </c>
      <c r="I196" s="3">
        <v>16018</v>
      </c>
      <c r="J196" s="3">
        <v>15561</v>
      </c>
      <c r="K196" s="3">
        <v>297</v>
      </c>
      <c r="L196" s="3">
        <v>79</v>
      </c>
      <c r="M196" s="3">
        <v>165</v>
      </c>
      <c r="N196" s="3">
        <v>465</v>
      </c>
      <c r="O196" s="3">
        <v>309</v>
      </c>
      <c r="P196" s="3">
        <v>287</v>
      </c>
      <c r="Q196" s="3">
        <v>191</v>
      </c>
    </row>
    <row r="197" spans="1:17" ht="9">
      <c r="A197" s="4" t="s">
        <v>34</v>
      </c>
      <c r="C197" s="3">
        <v>2803</v>
      </c>
      <c r="D197" s="3">
        <v>33480</v>
      </c>
      <c r="E197" s="3">
        <v>3779</v>
      </c>
      <c r="F197" s="3">
        <v>2292</v>
      </c>
      <c r="G197" s="3">
        <v>3650</v>
      </c>
      <c r="H197" s="3">
        <v>159</v>
      </c>
      <c r="I197" s="3">
        <v>16018</v>
      </c>
      <c r="J197" s="3">
        <v>15561</v>
      </c>
      <c r="K197" s="3">
        <v>297</v>
      </c>
      <c r="L197" s="3">
        <v>79</v>
      </c>
      <c r="M197" s="3">
        <v>165</v>
      </c>
      <c r="N197" s="3">
        <v>465</v>
      </c>
      <c r="O197" s="3">
        <v>309</v>
      </c>
      <c r="P197" s="3">
        <v>287</v>
      </c>
      <c r="Q197" s="3">
        <v>191</v>
      </c>
    </row>
    <row r="198" spans="2:17" s="6" customFormat="1" ht="9">
      <c r="B198" s="10" t="s">
        <v>120</v>
      </c>
      <c r="C198" s="7">
        <f>C197/42354</f>
        <v>0.06618028993719602</v>
      </c>
      <c r="D198" s="7">
        <f>D197/42354</f>
        <v>0.7904802379940501</v>
      </c>
      <c r="E198" s="7">
        <f>E197/42354</f>
        <v>0.08922415828493177</v>
      </c>
      <c r="F198" s="7">
        <f>F197/42354</f>
        <v>0.05411531378382207</v>
      </c>
      <c r="G198" s="7">
        <f aca="true" t="shared" si="26" ref="G198:M198">G197/35929</f>
        <v>0.10158924545631662</v>
      </c>
      <c r="H198" s="7">
        <f t="shared" si="26"/>
        <v>0.00442539452809708</v>
      </c>
      <c r="I198" s="7">
        <f t="shared" si="26"/>
        <v>0.4458237078682958</v>
      </c>
      <c r="J198" s="7">
        <f t="shared" si="26"/>
        <v>0.4331041776837652</v>
      </c>
      <c r="K198" s="7">
        <f t="shared" si="26"/>
        <v>0.00826630298644549</v>
      </c>
      <c r="L198" s="7">
        <f t="shared" si="26"/>
        <v>0.0021987809290545243</v>
      </c>
      <c r="M198" s="7">
        <f t="shared" si="26"/>
        <v>0.004592390548025272</v>
      </c>
      <c r="N198" s="7">
        <f>N197/465</f>
        <v>1</v>
      </c>
      <c r="O198" s="7">
        <f>O197/309</f>
        <v>1</v>
      </c>
      <c r="P198" s="7">
        <v>1</v>
      </c>
      <c r="Q198" s="7">
        <f>Q197/191</f>
        <v>1</v>
      </c>
    </row>
    <row r="199" spans="2:17" ht="4.5" customHeight="1">
      <c r="B199" s="1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9">
      <c r="A200" s="5" t="s">
        <v>103</v>
      </c>
      <c r="B200" s="1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ht="9">
      <c r="B201" s="9" t="s">
        <v>88</v>
      </c>
      <c r="C201" s="3">
        <v>3028</v>
      </c>
      <c r="D201" s="3">
        <v>42991</v>
      </c>
      <c r="E201" s="3">
        <v>4093</v>
      </c>
      <c r="F201" s="3">
        <v>2398</v>
      </c>
      <c r="G201" s="3">
        <v>3534</v>
      </c>
      <c r="H201" s="3">
        <v>175</v>
      </c>
      <c r="I201" s="3">
        <v>22063</v>
      </c>
      <c r="J201" s="3">
        <v>18557</v>
      </c>
      <c r="K201" s="3">
        <v>292</v>
      </c>
      <c r="L201" s="3">
        <v>92</v>
      </c>
      <c r="M201" s="3">
        <v>223</v>
      </c>
      <c r="N201" s="3">
        <v>548</v>
      </c>
      <c r="O201" s="3">
        <v>621</v>
      </c>
      <c r="P201" s="3">
        <v>475</v>
      </c>
      <c r="Q201" s="3">
        <v>240</v>
      </c>
    </row>
    <row r="202" spans="1:17" ht="9">
      <c r="A202" s="4" t="s">
        <v>34</v>
      </c>
      <c r="C202" s="3">
        <v>3028</v>
      </c>
      <c r="D202" s="3">
        <v>42991</v>
      </c>
      <c r="E202" s="3">
        <v>4093</v>
      </c>
      <c r="F202" s="3">
        <v>2398</v>
      </c>
      <c r="G202" s="3">
        <v>3534</v>
      </c>
      <c r="H202" s="3">
        <v>175</v>
      </c>
      <c r="I202" s="3">
        <v>22063</v>
      </c>
      <c r="J202" s="3">
        <v>18557</v>
      </c>
      <c r="K202" s="3">
        <v>292</v>
      </c>
      <c r="L202" s="3">
        <v>92</v>
      </c>
      <c r="M202" s="3">
        <v>223</v>
      </c>
      <c r="N202" s="3">
        <v>548</v>
      </c>
      <c r="O202" s="3">
        <v>621</v>
      </c>
      <c r="P202" s="3">
        <v>475</v>
      </c>
      <c r="Q202" s="3">
        <v>240</v>
      </c>
    </row>
    <row r="203" spans="2:17" s="6" customFormat="1" ht="9">
      <c r="B203" s="10" t="s">
        <v>120</v>
      </c>
      <c r="C203" s="7">
        <f>C202/52510</f>
        <v>0.05766520662730908</v>
      </c>
      <c r="D203" s="7">
        <f>D202/52510</f>
        <v>0.8187202437630927</v>
      </c>
      <c r="E203" s="7">
        <f>E202/52510</f>
        <v>0.07794705770329462</v>
      </c>
      <c r="F203" s="7">
        <f>F202/52510</f>
        <v>0.045667491906303564</v>
      </c>
      <c r="G203" s="7">
        <f aca="true" t="shared" si="27" ref="G203:M203">G202/44936</f>
        <v>0.0786451842620616</v>
      </c>
      <c r="H203" s="7">
        <f t="shared" si="27"/>
        <v>0.003894427630407691</v>
      </c>
      <c r="I203" s="7">
        <f t="shared" si="27"/>
        <v>0.4909871817696279</v>
      </c>
      <c r="J203" s="7">
        <f t="shared" si="27"/>
        <v>0.41296510592843155</v>
      </c>
      <c r="K203" s="7">
        <f t="shared" si="27"/>
        <v>0.006498130674737404</v>
      </c>
      <c r="L203" s="7">
        <f t="shared" si="27"/>
        <v>0.0020473562399857576</v>
      </c>
      <c r="M203" s="7">
        <f t="shared" si="27"/>
        <v>0.0049626134947480865</v>
      </c>
      <c r="N203" s="7">
        <f>N202/548</f>
        <v>1</v>
      </c>
      <c r="O203" s="7">
        <f>O202/621</f>
        <v>1</v>
      </c>
      <c r="P203" s="7">
        <v>1</v>
      </c>
      <c r="Q203" s="7">
        <f>Q202/240</f>
        <v>1</v>
      </c>
    </row>
    <row r="204" spans="2:17" ht="4.5" customHeight="1">
      <c r="B204" s="1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9">
      <c r="A205" s="5" t="s">
        <v>105</v>
      </c>
      <c r="B205" s="1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ht="9">
      <c r="B206" s="9" t="s">
        <v>88</v>
      </c>
      <c r="C206" s="3">
        <v>1840</v>
      </c>
      <c r="D206" s="3">
        <v>17688</v>
      </c>
      <c r="E206" s="3">
        <v>1927</v>
      </c>
      <c r="F206" s="3">
        <v>1167</v>
      </c>
      <c r="G206" s="3">
        <v>3221</v>
      </c>
      <c r="H206" s="3">
        <v>137</v>
      </c>
      <c r="I206" s="3">
        <v>18831</v>
      </c>
      <c r="J206" s="3">
        <v>18064</v>
      </c>
      <c r="K206" s="3">
        <v>256</v>
      </c>
      <c r="L206" s="3">
        <v>63</v>
      </c>
      <c r="M206" s="3">
        <v>191</v>
      </c>
      <c r="N206" s="3">
        <v>316</v>
      </c>
      <c r="O206" s="3">
        <v>249</v>
      </c>
      <c r="P206" s="3">
        <v>230</v>
      </c>
      <c r="Q206" s="3">
        <v>109</v>
      </c>
    </row>
    <row r="207" spans="2:17" ht="9">
      <c r="B207" s="9" t="s">
        <v>104</v>
      </c>
      <c r="C207" s="3">
        <v>881</v>
      </c>
      <c r="D207" s="3">
        <v>8729</v>
      </c>
      <c r="E207" s="3">
        <v>1331</v>
      </c>
      <c r="F207" s="3">
        <v>603</v>
      </c>
      <c r="G207" s="3">
        <v>2520</v>
      </c>
      <c r="H207" s="3">
        <v>110</v>
      </c>
      <c r="I207" s="3">
        <v>9875</v>
      </c>
      <c r="J207" s="3">
        <v>14416</v>
      </c>
      <c r="K207" s="3">
        <v>177</v>
      </c>
      <c r="L207" s="3">
        <v>27</v>
      </c>
      <c r="M207" s="3">
        <v>147</v>
      </c>
      <c r="N207" s="3">
        <v>196</v>
      </c>
      <c r="O207" s="3">
        <v>79</v>
      </c>
      <c r="P207" s="3">
        <v>141</v>
      </c>
      <c r="Q207" s="3">
        <v>15</v>
      </c>
    </row>
    <row r="208" spans="2:17" ht="9">
      <c r="B208" s="9" t="s">
        <v>89</v>
      </c>
      <c r="C208" s="3">
        <v>375</v>
      </c>
      <c r="D208" s="3">
        <v>4228</v>
      </c>
      <c r="E208" s="3">
        <v>557</v>
      </c>
      <c r="F208" s="3">
        <v>227</v>
      </c>
      <c r="G208" s="3">
        <v>794</v>
      </c>
      <c r="H208" s="3">
        <v>42</v>
      </c>
      <c r="I208" s="3">
        <v>3442</v>
      </c>
      <c r="J208" s="3">
        <v>4135</v>
      </c>
      <c r="K208" s="3">
        <v>60</v>
      </c>
      <c r="L208" s="3">
        <v>14</v>
      </c>
      <c r="M208" s="3">
        <v>39</v>
      </c>
      <c r="N208" s="3">
        <v>81</v>
      </c>
      <c r="O208" s="3">
        <v>24</v>
      </c>
      <c r="P208" s="3">
        <v>40</v>
      </c>
      <c r="Q208" s="3">
        <v>10</v>
      </c>
    </row>
    <row r="209" spans="1:17" ht="9">
      <c r="A209" s="4" t="s">
        <v>34</v>
      </c>
      <c r="C209" s="3">
        <v>3096</v>
      </c>
      <c r="D209" s="3">
        <v>30645</v>
      </c>
      <c r="E209" s="3">
        <v>3815</v>
      </c>
      <c r="F209" s="3">
        <v>1997</v>
      </c>
      <c r="G209" s="3">
        <v>6535</v>
      </c>
      <c r="H209" s="3">
        <v>289</v>
      </c>
      <c r="I209" s="3">
        <v>32148</v>
      </c>
      <c r="J209" s="3">
        <v>36615</v>
      </c>
      <c r="K209" s="3">
        <v>493</v>
      </c>
      <c r="L209" s="3">
        <v>104</v>
      </c>
      <c r="M209" s="3">
        <v>377</v>
      </c>
      <c r="N209" s="3">
        <v>593</v>
      </c>
      <c r="O209" s="3">
        <v>352</v>
      </c>
      <c r="P209" s="3">
        <v>411</v>
      </c>
      <c r="Q209" s="3">
        <v>134</v>
      </c>
    </row>
    <row r="210" spans="2:17" s="6" customFormat="1" ht="9">
      <c r="B210" s="10" t="s">
        <v>120</v>
      </c>
      <c r="C210" s="7">
        <f>C209/39553</f>
        <v>0.0782747199959548</v>
      </c>
      <c r="D210" s="7">
        <f>D209/39553</f>
        <v>0.7747832022855409</v>
      </c>
      <c r="E210" s="7">
        <f>E209/39553</f>
        <v>0.09645286071852957</v>
      </c>
      <c r="F210" s="7">
        <f>F209/39553</f>
        <v>0.05048921699997472</v>
      </c>
      <c r="G210" s="7">
        <f aca="true" t="shared" si="28" ref="G210:M210">G209/76561</f>
        <v>0.08535677433680333</v>
      </c>
      <c r="H210" s="7">
        <f t="shared" si="28"/>
        <v>0.0037747678321861</v>
      </c>
      <c r="I210" s="7">
        <f t="shared" si="28"/>
        <v>0.419900471519442</v>
      </c>
      <c r="J210" s="7">
        <f t="shared" si="28"/>
        <v>0.4782461044134742</v>
      </c>
      <c r="K210" s="7">
        <f t="shared" si="28"/>
        <v>0.006439309831376288</v>
      </c>
      <c r="L210" s="7">
        <f t="shared" si="28"/>
        <v>0.0013583939603714686</v>
      </c>
      <c r="M210" s="7">
        <f t="shared" si="28"/>
        <v>0.0049241781063465734</v>
      </c>
      <c r="N210" s="7">
        <f>N209/593</f>
        <v>1</v>
      </c>
      <c r="O210" s="7">
        <f>O209/352</f>
        <v>1</v>
      </c>
      <c r="P210" s="7">
        <v>1</v>
      </c>
      <c r="Q210" s="7">
        <f>Q209/134</f>
        <v>1</v>
      </c>
    </row>
    <row r="211" spans="2:17" ht="4.5" customHeight="1">
      <c r="B211" s="1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9">
      <c r="A212" s="5" t="s">
        <v>106</v>
      </c>
      <c r="B212" s="1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ht="9">
      <c r="B213" s="9" t="s">
        <v>88</v>
      </c>
      <c r="C213" s="3">
        <v>3211</v>
      </c>
      <c r="D213" s="3">
        <v>35423</v>
      </c>
      <c r="E213" s="3">
        <v>4437</v>
      </c>
      <c r="F213" s="3">
        <v>1529</v>
      </c>
      <c r="G213" s="3">
        <v>2383</v>
      </c>
      <c r="H213" s="3">
        <v>133</v>
      </c>
      <c r="I213" s="3">
        <v>9469</v>
      </c>
      <c r="J213" s="3">
        <v>10446</v>
      </c>
      <c r="K213" s="3">
        <v>222</v>
      </c>
      <c r="L213" s="3">
        <v>93</v>
      </c>
      <c r="M213" s="3">
        <v>151</v>
      </c>
      <c r="N213" s="3">
        <v>358</v>
      </c>
      <c r="O213" s="3">
        <v>113</v>
      </c>
      <c r="P213" s="3">
        <v>121</v>
      </c>
      <c r="Q213" s="3">
        <v>150</v>
      </c>
    </row>
    <row r="214" spans="1:17" ht="9">
      <c r="A214" s="4" t="s">
        <v>34</v>
      </c>
      <c r="C214" s="3">
        <v>3211</v>
      </c>
      <c r="D214" s="3">
        <v>35423</v>
      </c>
      <c r="E214" s="3">
        <v>4437</v>
      </c>
      <c r="F214" s="3">
        <v>1529</v>
      </c>
      <c r="G214" s="3">
        <v>2383</v>
      </c>
      <c r="H214" s="3">
        <v>133</v>
      </c>
      <c r="I214" s="3">
        <v>9469</v>
      </c>
      <c r="J214" s="3">
        <v>10446</v>
      </c>
      <c r="K214" s="3">
        <v>222</v>
      </c>
      <c r="L214" s="3">
        <v>93</v>
      </c>
      <c r="M214" s="3">
        <v>151</v>
      </c>
      <c r="N214" s="3">
        <v>358</v>
      </c>
      <c r="O214" s="3">
        <v>113</v>
      </c>
      <c r="P214" s="3">
        <v>121</v>
      </c>
      <c r="Q214" s="3">
        <v>150</v>
      </c>
    </row>
    <row r="215" spans="2:17" s="6" customFormat="1" ht="9">
      <c r="B215" s="10" t="s">
        <v>120</v>
      </c>
      <c r="C215" s="7">
        <f>C214/44600</f>
        <v>0.07199551569506726</v>
      </c>
      <c r="D215" s="7">
        <f>D214/44600</f>
        <v>0.7942376681614349</v>
      </c>
      <c r="E215" s="7">
        <f>E214/44600</f>
        <v>0.09948430493273543</v>
      </c>
      <c r="F215" s="7">
        <f>F214/44600</f>
        <v>0.03428251121076233</v>
      </c>
      <c r="G215" s="7">
        <f aca="true" t="shared" si="29" ref="G215:M215">G214/22897</f>
        <v>0.1040747696204743</v>
      </c>
      <c r="H215" s="7">
        <f t="shared" si="29"/>
        <v>0.005808621216753286</v>
      </c>
      <c r="I215" s="7">
        <f t="shared" si="29"/>
        <v>0.413547626326593</v>
      </c>
      <c r="J215" s="7">
        <f t="shared" si="29"/>
        <v>0.45621697165567543</v>
      </c>
      <c r="K215" s="7">
        <f t="shared" si="29"/>
        <v>0.00969559330916714</v>
      </c>
      <c r="L215" s="7">
        <f t="shared" si="29"/>
        <v>0.004061667467353802</v>
      </c>
      <c r="M215" s="7">
        <f t="shared" si="29"/>
        <v>0.006594750403983054</v>
      </c>
      <c r="N215" s="7">
        <f>N214/358</f>
        <v>1</v>
      </c>
      <c r="O215" s="7">
        <f>O214/113</f>
        <v>1</v>
      </c>
      <c r="P215" s="7">
        <f>P214/121</f>
        <v>1</v>
      </c>
      <c r="Q215" s="7">
        <f>Q214/150</f>
        <v>1</v>
      </c>
    </row>
    <row r="216" spans="2:17" ht="4.5" customHeight="1">
      <c r="B216" s="1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9">
      <c r="A217" s="5" t="s">
        <v>108</v>
      </c>
      <c r="B217" s="1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9">
      <c r="B218" s="9" t="s">
        <v>107</v>
      </c>
      <c r="C218" s="3">
        <v>884</v>
      </c>
      <c r="D218" s="3">
        <v>12432</v>
      </c>
      <c r="E218" s="3">
        <v>1260</v>
      </c>
      <c r="F218" s="3">
        <v>655</v>
      </c>
      <c r="G218" s="3">
        <v>2252</v>
      </c>
      <c r="H218" s="3">
        <v>151</v>
      </c>
      <c r="I218" s="3">
        <v>7797</v>
      </c>
      <c r="J218" s="3">
        <v>8897</v>
      </c>
      <c r="K218" s="3">
        <v>281</v>
      </c>
      <c r="L218" s="3">
        <v>46</v>
      </c>
      <c r="M218" s="3">
        <v>129</v>
      </c>
      <c r="N218" s="3">
        <v>231</v>
      </c>
      <c r="O218" s="3">
        <v>121</v>
      </c>
      <c r="P218" s="3">
        <v>127</v>
      </c>
      <c r="Q218" s="3">
        <v>21</v>
      </c>
    </row>
    <row r="219" spans="2:17" ht="9">
      <c r="B219" s="9" t="s">
        <v>89</v>
      </c>
      <c r="C219" s="3">
        <v>2211</v>
      </c>
      <c r="D219" s="3">
        <v>17767</v>
      </c>
      <c r="E219" s="3">
        <v>1643</v>
      </c>
      <c r="F219" s="3">
        <v>1269</v>
      </c>
      <c r="G219" s="3">
        <v>3974</v>
      </c>
      <c r="H219" s="3">
        <v>209</v>
      </c>
      <c r="I219" s="3">
        <v>16783</v>
      </c>
      <c r="J219" s="3">
        <v>19848</v>
      </c>
      <c r="K219" s="3">
        <v>374</v>
      </c>
      <c r="L219" s="3">
        <v>152</v>
      </c>
      <c r="M219" s="3">
        <v>330</v>
      </c>
      <c r="N219" s="3">
        <v>365</v>
      </c>
      <c r="O219" s="3">
        <v>219</v>
      </c>
      <c r="P219" s="3">
        <v>252</v>
      </c>
      <c r="Q219" s="3">
        <v>14</v>
      </c>
    </row>
    <row r="220" spans="1:17" ht="9">
      <c r="A220" s="4" t="s">
        <v>34</v>
      </c>
      <c r="C220" s="3">
        <v>3095</v>
      </c>
      <c r="D220" s="3">
        <v>30199</v>
      </c>
      <c r="E220" s="3">
        <v>2903</v>
      </c>
      <c r="F220" s="3">
        <v>1924</v>
      </c>
      <c r="G220" s="3">
        <v>6226</v>
      </c>
      <c r="H220" s="3">
        <v>360</v>
      </c>
      <c r="I220" s="3">
        <v>24580</v>
      </c>
      <c r="J220" s="3">
        <v>28745</v>
      </c>
      <c r="K220" s="3">
        <v>655</v>
      </c>
      <c r="L220" s="3">
        <v>198</v>
      </c>
      <c r="M220" s="3">
        <v>459</v>
      </c>
      <c r="N220" s="3">
        <v>596</v>
      </c>
      <c r="O220" s="3">
        <v>340</v>
      </c>
      <c r="P220" s="3">
        <v>379</v>
      </c>
      <c r="Q220" s="3">
        <v>35</v>
      </c>
    </row>
    <row r="221" spans="2:17" s="6" customFormat="1" ht="9">
      <c r="B221" s="10" t="s">
        <v>120</v>
      </c>
      <c r="C221" s="7">
        <f>C220/38121</f>
        <v>0.08118884604286351</v>
      </c>
      <c r="D221" s="7">
        <f>D220/38121</f>
        <v>0.79218803284279</v>
      </c>
      <c r="E221" s="7">
        <f>E220/38121</f>
        <v>0.07615225203955825</v>
      </c>
      <c r="F221" s="7">
        <f>F220/38121</f>
        <v>0.05047086907478818</v>
      </c>
      <c r="G221" s="7">
        <f aca="true" t="shared" si="30" ref="G221:M221">G220/61223</f>
        <v>0.10169380788265847</v>
      </c>
      <c r="H221" s="7">
        <f t="shared" si="30"/>
        <v>0.005880143083481698</v>
      </c>
      <c r="I221" s="7">
        <f t="shared" si="30"/>
        <v>0.40148310275550037</v>
      </c>
      <c r="J221" s="7">
        <f t="shared" si="30"/>
        <v>0.46951309148522613</v>
      </c>
      <c r="K221" s="7">
        <f t="shared" si="30"/>
        <v>0.0106985936657792</v>
      </c>
      <c r="L221" s="7">
        <f t="shared" si="30"/>
        <v>0.003234078695914934</v>
      </c>
      <c r="M221" s="7">
        <f t="shared" si="30"/>
        <v>0.0074971824314391654</v>
      </c>
      <c r="N221" s="7">
        <f>N220/596</f>
        <v>1</v>
      </c>
      <c r="O221" s="7">
        <f>O220/340</f>
        <v>1</v>
      </c>
      <c r="P221" s="7">
        <v>1</v>
      </c>
      <c r="Q221" s="7">
        <f>Q220/35</f>
        <v>1</v>
      </c>
    </row>
    <row r="222" spans="2:17" ht="4.5" customHeight="1">
      <c r="B222" s="1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9">
      <c r="A223" s="5" t="s">
        <v>109</v>
      </c>
      <c r="B223" s="1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9">
      <c r="B224" s="9" t="s">
        <v>88</v>
      </c>
      <c r="C224" s="3">
        <v>301</v>
      </c>
      <c r="D224" s="3">
        <v>4426</v>
      </c>
      <c r="E224" s="3">
        <v>539</v>
      </c>
      <c r="F224" s="3">
        <v>203</v>
      </c>
      <c r="G224" s="3">
        <v>369</v>
      </c>
      <c r="H224" s="3">
        <v>13</v>
      </c>
      <c r="I224" s="3">
        <v>1489</v>
      </c>
      <c r="J224" s="3">
        <v>1289</v>
      </c>
      <c r="K224" s="3">
        <v>19</v>
      </c>
      <c r="L224" s="3">
        <v>9</v>
      </c>
      <c r="M224" s="3">
        <v>26</v>
      </c>
      <c r="N224" s="3">
        <v>55</v>
      </c>
      <c r="O224" s="3">
        <v>38</v>
      </c>
      <c r="P224" s="3">
        <v>24</v>
      </c>
      <c r="Q224" s="3">
        <v>21</v>
      </c>
    </row>
    <row r="225" spans="2:17" ht="9">
      <c r="B225" s="9" t="s">
        <v>89</v>
      </c>
      <c r="C225" s="3">
        <v>1547</v>
      </c>
      <c r="D225" s="3">
        <v>18802</v>
      </c>
      <c r="E225" s="3">
        <v>1806</v>
      </c>
      <c r="F225" s="3">
        <v>1090</v>
      </c>
      <c r="G225" s="3">
        <v>1825</v>
      </c>
      <c r="H225" s="3">
        <v>118</v>
      </c>
      <c r="I225" s="3">
        <v>5781</v>
      </c>
      <c r="J225" s="3">
        <v>7499</v>
      </c>
      <c r="K225" s="3">
        <v>281</v>
      </c>
      <c r="L225" s="3">
        <v>62</v>
      </c>
      <c r="M225" s="3">
        <v>149</v>
      </c>
      <c r="N225" s="3">
        <v>274</v>
      </c>
      <c r="O225" s="3">
        <v>89</v>
      </c>
      <c r="P225" s="3">
        <v>108</v>
      </c>
      <c r="Q225" s="3">
        <v>10</v>
      </c>
    </row>
    <row r="226" spans="1:17" ht="9">
      <c r="A226" s="4" t="s">
        <v>34</v>
      </c>
      <c r="C226" s="3">
        <v>1848</v>
      </c>
      <c r="D226" s="3">
        <v>23228</v>
      </c>
      <c r="E226" s="3">
        <v>2345</v>
      </c>
      <c r="F226" s="3">
        <v>1293</v>
      </c>
      <c r="G226" s="3">
        <v>2194</v>
      </c>
      <c r="H226" s="3">
        <v>131</v>
      </c>
      <c r="I226" s="3">
        <v>7270</v>
      </c>
      <c r="J226" s="3">
        <v>8788</v>
      </c>
      <c r="K226" s="3">
        <v>300</v>
      </c>
      <c r="L226" s="3">
        <v>71</v>
      </c>
      <c r="M226" s="3">
        <v>175</v>
      </c>
      <c r="N226" s="3">
        <v>329</v>
      </c>
      <c r="O226" s="3">
        <v>127</v>
      </c>
      <c r="P226" s="3">
        <v>132</v>
      </c>
      <c r="Q226" s="3">
        <v>31</v>
      </c>
    </row>
    <row r="227" spans="2:17" s="6" customFormat="1" ht="9">
      <c r="B227" s="10" t="s">
        <v>120</v>
      </c>
      <c r="C227" s="7">
        <f>C226/28714</f>
        <v>0.0643588493417845</v>
      </c>
      <c r="D227" s="7">
        <f>D226/28714</f>
        <v>0.8089433725708713</v>
      </c>
      <c r="E227" s="7">
        <f>E226/28714</f>
        <v>0.08166747927840078</v>
      </c>
      <c r="F227" s="7">
        <f>F226/28714</f>
        <v>0.045030298808943374</v>
      </c>
      <c r="G227" s="7">
        <f aca="true" t="shared" si="31" ref="G227:M227">G226/18929</f>
        <v>0.11590680965713984</v>
      </c>
      <c r="H227" s="7">
        <f t="shared" si="31"/>
        <v>0.0069205980241956785</v>
      </c>
      <c r="I227" s="7">
        <f t="shared" si="31"/>
        <v>0.3840667758465846</v>
      </c>
      <c r="J227" s="7">
        <f t="shared" si="31"/>
        <v>0.4642611865391727</v>
      </c>
      <c r="K227" s="7">
        <f t="shared" si="31"/>
        <v>0.015848697765333614</v>
      </c>
      <c r="L227" s="7">
        <f t="shared" si="31"/>
        <v>0.0037508584711289554</v>
      </c>
      <c r="M227" s="7">
        <f t="shared" si="31"/>
        <v>0.009245073696444608</v>
      </c>
      <c r="N227" s="7">
        <f>N226/329</f>
        <v>1</v>
      </c>
      <c r="O227" s="7">
        <f>O226/127</f>
        <v>1</v>
      </c>
      <c r="P227" s="7">
        <v>1</v>
      </c>
      <c r="Q227" s="7">
        <f>Q226/31</f>
        <v>1</v>
      </c>
    </row>
    <row r="228" spans="2:17" ht="4.5" customHeight="1">
      <c r="B228" s="1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9">
      <c r="A229" s="5" t="s">
        <v>110</v>
      </c>
      <c r="B229" s="1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ht="9">
      <c r="B230" s="9" t="s">
        <v>104</v>
      </c>
      <c r="C230" s="3">
        <v>3991</v>
      </c>
      <c r="D230" s="3">
        <v>38739</v>
      </c>
      <c r="E230" s="3">
        <v>4483</v>
      </c>
      <c r="F230" s="3">
        <v>2934</v>
      </c>
      <c r="G230" s="3">
        <v>11403</v>
      </c>
      <c r="H230" s="3">
        <v>559</v>
      </c>
      <c r="I230" s="3">
        <v>45082</v>
      </c>
      <c r="J230" s="3">
        <v>61971</v>
      </c>
      <c r="K230" s="3">
        <v>876</v>
      </c>
      <c r="L230" s="3">
        <v>288</v>
      </c>
      <c r="M230" s="3">
        <v>578</v>
      </c>
      <c r="N230" s="3">
        <v>949</v>
      </c>
      <c r="O230" s="3">
        <v>470</v>
      </c>
      <c r="P230" s="3">
        <v>847</v>
      </c>
      <c r="Q230" s="3">
        <v>97</v>
      </c>
    </row>
    <row r="231" spans="1:17" ht="9">
      <c r="A231" s="4" t="s">
        <v>34</v>
      </c>
      <c r="C231" s="3">
        <v>3991</v>
      </c>
      <c r="D231" s="3">
        <v>38739</v>
      </c>
      <c r="E231" s="3">
        <v>4483</v>
      </c>
      <c r="F231" s="3">
        <v>2934</v>
      </c>
      <c r="G231" s="3">
        <v>11403</v>
      </c>
      <c r="H231" s="3">
        <v>559</v>
      </c>
      <c r="I231" s="3">
        <v>45082</v>
      </c>
      <c r="J231" s="3">
        <v>61971</v>
      </c>
      <c r="K231" s="3">
        <v>876</v>
      </c>
      <c r="L231" s="3">
        <v>288</v>
      </c>
      <c r="M231" s="3">
        <v>578</v>
      </c>
      <c r="N231" s="3">
        <v>949</v>
      </c>
      <c r="O231" s="3">
        <v>470</v>
      </c>
      <c r="P231" s="3">
        <v>847</v>
      </c>
      <c r="Q231" s="3">
        <v>97</v>
      </c>
    </row>
    <row r="232" spans="2:17" s="6" customFormat="1" ht="9">
      <c r="B232" s="10" t="s">
        <v>120</v>
      </c>
      <c r="C232" s="7">
        <f>C231/50147</f>
        <v>0.0795860171096975</v>
      </c>
      <c r="D232" s="7">
        <f>D231/50147</f>
        <v>0.7725088240572716</v>
      </c>
      <c r="E232" s="7">
        <f>E231/50147</f>
        <v>0.08939717231339861</v>
      </c>
      <c r="F232" s="7">
        <f>F231/50147</f>
        <v>0.05850798651963228</v>
      </c>
      <c r="G232" s="7">
        <f aca="true" t="shared" si="32" ref="G232:M232">G231/120757</f>
        <v>0.09442930844588719</v>
      </c>
      <c r="H232" s="7">
        <f t="shared" si="32"/>
        <v>0.004629131230487674</v>
      </c>
      <c r="I232" s="7">
        <f t="shared" si="32"/>
        <v>0.37332825426269284</v>
      </c>
      <c r="J232" s="7">
        <f t="shared" si="32"/>
        <v>0.5131876412961568</v>
      </c>
      <c r="K232" s="7">
        <f t="shared" si="32"/>
        <v>0.007254237849565657</v>
      </c>
      <c r="L232" s="7">
        <f t="shared" si="32"/>
        <v>0.0023849549094462435</v>
      </c>
      <c r="M232" s="7">
        <f t="shared" si="32"/>
        <v>0.004786472005763641</v>
      </c>
      <c r="N232" s="7">
        <f>N231/949</f>
        <v>1</v>
      </c>
      <c r="O232" s="7">
        <f>O231/470</f>
        <v>1</v>
      </c>
      <c r="P232" s="7">
        <v>1</v>
      </c>
      <c r="Q232" s="7">
        <f>Q231/97</f>
        <v>1</v>
      </c>
    </row>
    <row r="233" spans="2:17" ht="4.5" customHeight="1">
      <c r="B233" s="1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9">
      <c r="A234" s="5" t="s">
        <v>111</v>
      </c>
      <c r="B234" s="1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9">
      <c r="B235" s="9" t="s">
        <v>104</v>
      </c>
      <c r="C235" s="3">
        <v>2034</v>
      </c>
      <c r="D235" s="3">
        <v>23506</v>
      </c>
      <c r="E235" s="3">
        <v>2775</v>
      </c>
      <c r="F235" s="3">
        <v>1449</v>
      </c>
      <c r="G235" s="3">
        <v>3992</v>
      </c>
      <c r="H235" s="3">
        <v>244</v>
      </c>
      <c r="I235" s="3">
        <v>9758</v>
      </c>
      <c r="J235" s="3">
        <v>15063</v>
      </c>
      <c r="K235" s="3">
        <v>816</v>
      </c>
      <c r="L235" s="3">
        <v>118</v>
      </c>
      <c r="M235" s="3">
        <v>260</v>
      </c>
      <c r="N235" s="3">
        <v>434</v>
      </c>
      <c r="O235" s="3">
        <v>160</v>
      </c>
      <c r="P235" s="3">
        <v>299</v>
      </c>
      <c r="Q235" s="3">
        <v>43</v>
      </c>
    </row>
    <row r="236" spans="1:17" ht="9">
      <c r="A236" s="4" t="s">
        <v>34</v>
      </c>
      <c r="C236" s="3">
        <v>2034</v>
      </c>
      <c r="D236" s="3">
        <v>23506</v>
      </c>
      <c r="E236" s="3">
        <v>2775</v>
      </c>
      <c r="F236" s="3">
        <v>1449</v>
      </c>
      <c r="G236" s="3">
        <v>3992</v>
      </c>
      <c r="H236" s="3">
        <v>244</v>
      </c>
      <c r="I236" s="3">
        <v>9758</v>
      </c>
      <c r="J236" s="3">
        <v>15063</v>
      </c>
      <c r="K236" s="3">
        <v>816</v>
      </c>
      <c r="L236" s="3">
        <v>118</v>
      </c>
      <c r="M236" s="3">
        <v>260</v>
      </c>
      <c r="N236" s="3">
        <v>434</v>
      </c>
      <c r="O236" s="3">
        <v>160</v>
      </c>
      <c r="P236" s="3">
        <v>299</v>
      </c>
      <c r="Q236" s="3">
        <v>43</v>
      </c>
    </row>
    <row r="237" spans="2:17" s="6" customFormat="1" ht="9">
      <c r="B237" s="10" t="s">
        <v>120</v>
      </c>
      <c r="C237" s="7">
        <f>C236/29764</f>
        <v>0.06833758903373202</v>
      </c>
      <c r="D237" s="7">
        <f>D236/29764</f>
        <v>0.7897460018814676</v>
      </c>
      <c r="E237" s="7">
        <f>E236/29764</f>
        <v>0.09323343636607982</v>
      </c>
      <c r="F237" s="7">
        <f>F236/29764</f>
        <v>0.0486829727187206</v>
      </c>
      <c r="G237" s="7">
        <f aca="true" t="shared" si="33" ref="G237:M237">G236/30251</f>
        <v>0.13196257974942976</v>
      </c>
      <c r="H237" s="7">
        <f t="shared" si="33"/>
        <v>0.008065849062840897</v>
      </c>
      <c r="I237" s="7">
        <f t="shared" si="33"/>
        <v>0.32256784899672736</v>
      </c>
      <c r="J237" s="7">
        <f t="shared" si="33"/>
        <v>0.4979339525966084</v>
      </c>
      <c r="K237" s="7">
        <f t="shared" si="33"/>
        <v>0.026974314898681035</v>
      </c>
      <c r="L237" s="7">
        <f t="shared" si="33"/>
        <v>0.003900697497603385</v>
      </c>
      <c r="M237" s="7">
        <f t="shared" si="33"/>
        <v>0.008594757198109154</v>
      </c>
      <c r="N237" s="7">
        <f>N236/434</f>
        <v>1</v>
      </c>
      <c r="O237" s="7">
        <f>O236/160</f>
        <v>1</v>
      </c>
      <c r="P237" s="7">
        <v>1</v>
      </c>
      <c r="Q237" s="7">
        <f>Q236/43</f>
        <v>1</v>
      </c>
    </row>
    <row r="238" spans="2:17" ht="4.5" customHeight="1">
      <c r="B238" s="1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9">
      <c r="A239" s="5" t="s">
        <v>112</v>
      </c>
      <c r="B239" s="1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ht="9">
      <c r="B240" s="9" t="s">
        <v>104</v>
      </c>
      <c r="C240" s="3">
        <v>3971</v>
      </c>
      <c r="D240" s="3">
        <v>39648</v>
      </c>
      <c r="E240" s="3">
        <v>4181</v>
      </c>
      <c r="F240" s="3">
        <v>3047</v>
      </c>
      <c r="G240" s="3">
        <v>10037</v>
      </c>
      <c r="H240" s="3">
        <v>441</v>
      </c>
      <c r="I240" s="3">
        <v>43363</v>
      </c>
      <c r="J240" s="3">
        <v>53852</v>
      </c>
      <c r="K240" s="3">
        <v>980</v>
      </c>
      <c r="L240" s="3">
        <v>237</v>
      </c>
      <c r="M240" s="3">
        <v>481</v>
      </c>
      <c r="N240" s="3">
        <v>785</v>
      </c>
      <c r="O240" s="3">
        <v>626</v>
      </c>
      <c r="P240" s="3">
        <v>960</v>
      </c>
      <c r="Q240" s="3">
        <v>147</v>
      </c>
    </row>
    <row r="241" spans="1:17" ht="9">
      <c r="A241" s="4" t="s">
        <v>34</v>
      </c>
      <c r="C241" s="3">
        <v>3971</v>
      </c>
      <c r="D241" s="3">
        <v>39648</v>
      </c>
      <c r="E241" s="3">
        <v>4181</v>
      </c>
      <c r="F241" s="3">
        <v>3047</v>
      </c>
      <c r="G241" s="3">
        <v>10037</v>
      </c>
      <c r="H241" s="3">
        <v>441</v>
      </c>
      <c r="I241" s="3">
        <v>43363</v>
      </c>
      <c r="J241" s="3">
        <v>53852</v>
      </c>
      <c r="K241" s="3">
        <v>980</v>
      </c>
      <c r="L241" s="3">
        <v>237</v>
      </c>
      <c r="M241" s="3">
        <v>481</v>
      </c>
      <c r="N241" s="3">
        <v>785</v>
      </c>
      <c r="O241" s="3">
        <v>626</v>
      </c>
      <c r="P241" s="3">
        <v>960</v>
      </c>
      <c r="Q241" s="3">
        <v>147</v>
      </c>
    </row>
    <row r="242" spans="2:17" s="6" customFormat="1" ht="9">
      <c r="B242" s="10" t="s">
        <v>120</v>
      </c>
      <c r="C242" s="7">
        <f>C241/50847</f>
        <v>0.0780970362066592</v>
      </c>
      <c r="D242" s="7">
        <f>D241/50847</f>
        <v>0.7797510177591598</v>
      </c>
      <c r="E242" s="7">
        <f>E241/50847</f>
        <v>0.08222707337699373</v>
      </c>
      <c r="F242" s="7">
        <f>F241/50847</f>
        <v>0.059924872657187246</v>
      </c>
      <c r="G242" s="7">
        <f aca="true" t="shared" si="34" ref="G242:M242">G241/109391</f>
        <v>0.09175343492609081</v>
      </c>
      <c r="H242" s="7">
        <f t="shared" si="34"/>
        <v>0.004031410262270205</v>
      </c>
      <c r="I242" s="7">
        <f t="shared" si="34"/>
        <v>0.39640372608349866</v>
      </c>
      <c r="J242" s="7">
        <f t="shared" si="34"/>
        <v>0.4922891279904197</v>
      </c>
      <c r="K242" s="7">
        <f t="shared" si="34"/>
        <v>0.008958689471711566</v>
      </c>
      <c r="L242" s="7">
        <f t="shared" si="34"/>
        <v>0.0021665402089751443</v>
      </c>
      <c r="M242" s="7">
        <f t="shared" si="34"/>
        <v>0.0043970710570339425</v>
      </c>
      <c r="N242" s="7">
        <f>N241/785</f>
        <v>1</v>
      </c>
      <c r="O242" s="7">
        <f>O241/626</f>
        <v>1</v>
      </c>
      <c r="P242" s="7">
        <v>1</v>
      </c>
      <c r="Q242" s="7">
        <f>Q241/147</f>
        <v>1</v>
      </c>
    </row>
    <row r="243" spans="2:17" ht="4.5" customHeight="1">
      <c r="B243" s="1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9">
      <c r="A244" s="5" t="s">
        <v>114</v>
      </c>
      <c r="B244" s="1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ht="9">
      <c r="B245" s="9" t="s">
        <v>107</v>
      </c>
      <c r="C245" s="3">
        <v>374</v>
      </c>
      <c r="D245" s="3">
        <v>4504</v>
      </c>
      <c r="E245" s="3">
        <v>404</v>
      </c>
      <c r="F245" s="3">
        <v>288</v>
      </c>
      <c r="G245" s="3">
        <v>1728</v>
      </c>
      <c r="H245" s="3">
        <v>69</v>
      </c>
      <c r="I245" s="3">
        <v>6051</v>
      </c>
      <c r="J245" s="3">
        <v>8060</v>
      </c>
      <c r="K245" s="3">
        <v>155</v>
      </c>
      <c r="L245" s="3">
        <v>24</v>
      </c>
      <c r="M245" s="3">
        <v>83</v>
      </c>
      <c r="N245" s="3">
        <v>123</v>
      </c>
      <c r="O245" s="3">
        <v>37</v>
      </c>
      <c r="P245" s="3">
        <v>77</v>
      </c>
      <c r="Q245" s="3">
        <v>8</v>
      </c>
    </row>
    <row r="246" spans="2:17" ht="9">
      <c r="B246" s="9" t="s">
        <v>113</v>
      </c>
      <c r="C246" s="3">
        <v>2608</v>
      </c>
      <c r="D246" s="3">
        <v>27752</v>
      </c>
      <c r="E246" s="3">
        <v>2997</v>
      </c>
      <c r="F246" s="3">
        <v>1701</v>
      </c>
      <c r="G246" s="3">
        <v>11734</v>
      </c>
      <c r="H246" s="3">
        <v>366</v>
      </c>
      <c r="I246" s="3">
        <v>16590</v>
      </c>
      <c r="J246" s="3">
        <v>47886</v>
      </c>
      <c r="K246" s="3">
        <v>716</v>
      </c>
      <c r="L246" s="3">
        <v>227</v>
      </c>
      <c r="M246" s="3">
        <v>377</v>
      </c>
      <c r="N246" s="3">
        <v>736</v>
      </c>
      <c r="O246" s="3">
        <v>319</v>
      </c>
      <c r="P246" s="3">
        <v>567</v>
      </c>
      <c r="Q246" s="3">
        <v>95</v>
      </c>
    </row>
    <row r="247" spans="1:17" ht="9">
      <c r="A247" s="4" t="s">
        <v>34</v>
      </c>
      <c r="C247" s="3">
        <v>2982</v>
      </c>
      <c r="D247" s="3">
        <v>32256</v>
      </c>
      <c r="E247" s="3">
        <v>3401</v>
      </c>
      <c r="F247" s="3">
        <v>1989</v>
      </c>
      <c r="G247" s="3">
        <v>13462</v>
      </c>
      <c r="H247" s="3">
        <v>435</v>
      </c>
      <c r="I247" s="3">
        <v>22641</v>
      </c>
      <c r="J247" s="3">
        <v>55946</v>
      </c>
      <c r="K247" s="3">
        <v>871</v>
      </c>
      <c r="L247" s="3">
        <v>251</v>
      </c>
      <c r="M247" s="3">
        <v>460</v>
      </c>
      <c r="N247" s="3">
        <v>859</v>
      </c>
      <c r="O247" s="3">
        <v>356</v>
      </c>
      <c r="P247" s="3">
        <v>644</v>
      </c>
      <c r="Q247" s="3">
        <v>103</v>
      </c>
    </row>
    <row r="248" spans="2:17" s="6" customFormat="1" ht="9">
      <c r="B248" s="10" t="s">
        <v>120</v>
      </c>
      <c r="C248" s="7">
        <f>C247/40628</f>
        <v>0.07339765678842178</v>
      </c>
      <c r="D248" s="7">
        <f>D247/40628</f>
        <v>0.7939352170916609</v>
      </c>
      <c r="E248" s="7">
        <f>E247/40628</f>
        <v>0.08371074136063798</v>
      </c>
      <c r="F248" s="7">
        <f>F247/40628</f>
        <v>0.04895638475927931</v>
      </c>
      <c r="G248" s="7">
        <f aca="true" t="shared" si="35" ref="G248:M248">G247/94066</f>
        <v>0.1431122828652223</v>
      </c>
      <c r="H248" s="7">
        <f t="shared" si="35"/>
        <v>0.004624412646439734</v>
      </c>
      <c r="I248" s="7">
        <f t="shared" si="35"/>
        <v>0.24069270512193566</v>
      </c>
      <c r="J248" s="7">
        <f t="shared" si="35"/>
        <v>0.5947526205004996</v>
      </c>
      <c r="K248" s="7">
        <f t="shared" si="35"/>
        <v>0.009259456126549444</v>
      </c>
      <c r="L248" s="7">
        <f t="shared" si="35"/>
        <v>0.002668339251164076</v>
      </c>
      <c r="M248" s="7">
        <f t="shared" si="35"/>
        <v>0.004890183488189144</v>
      </c>
      <c r="N248" s="7">
        <f>N247/859</f>
        <v>1</v>
      </c>
      <c r="O248" s="7">
        <f>O247/356</f>
        <v>1</v>
      </c>
      <c r="P248" s="7">
        <v>1</v>
      </c>
      <c r="Q248" s="7">
        <f>Q247/103</f>
        <v>1</v>
      </c>
    </row>
    <row r="249" spans="2:17" ht="4.5" customHeight="1">
      <c r="B249" s="1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9">
      <c r="A250" s="5" t="s">
        <v>115</v>
      </c>
      <c r="B250" s="1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ht="9">
      <c r="B251" s="9" t="s">
        <v>107</v>
      </c>
      <c r="C251" s="3">
        <v>2163</v>
      </c>
      <c r="D251" s="3">
        <v>32208</v>
      </c>
      <c r="E251" s="3">
        <v>2811</v>
      </c>
      <c r="F251" s="3">
        <v>1444</v>
      </c>
      <c r="G251" s="3">
        <v>6858</v>
      </c>
      <c r="H251" s="3">
        <v>456</v>
      </c>
      <c r="I251" s="3">
        <v>25532</v>
      </c>
      <c r="J251" s="3">
        <v>30796</v>
      </c>
      <c r="K251" s="3">
        <v>568</v>
      </c>
      <c r="L251" s="3">
        <v>98</v>
      </c>
      <c r="M251" s="3">
        <v>420</v>
      </c>
      <c r="N251" s="3">
        <v>661</v>
      </c>
      <c r="O251" s="3">
        <v>206</v>
      </c>
      <c r="P251" s="3">
        <v>311</v>
      </c>
      <c r="Q251" s="3">
        <v>34</v>
      </c>
    </row>
    <row r="252" spans="1:17" ht="9">
      <c r="A252" s="4" t="s">
        <v>34</v>
      </c>
      <c r="C252" s="3">
        <v>2163</v>
      </c>
      <c r="D252" s="3">
        <v>32208</v>
      </c>
      <c r="E252" s="3">
        <v>2811</v>
      </c>
      <c r="F252" s="3">
        <v>1444</v>
      </c>
      <c r="G252" s="3">
        <v>6858</v>
      </c>
      <c r="H252" s="3">
        <v>456</v>
      </c>
      <c r="I252" s="3">
        <v>25532</v>
      </c>
      <c r="J252" s="3">
        <v>30796</v>
      </c>
      <c r="K252" s="3">
        <v>568</v>
      </c>
      <c r="L252" s="3">
        <v>98</v>
      </c>
      <c r="M252" s="3">
        <v>420</v>
      </c>
      <c r="N252" s="3">
        <v>661</v>
      </c>
      <c r="O252" s="3">
        <v>206</v>
      </c>
      <c r="P252" s="3">
        <v>311</v>
      </c>
      <c r="Q252" s="3">
        <v>34</v>
      </c>
    </row>
    <row r="253" spans="2:17" s="6" customFormat="1" ht="9">
      <c r="B253" s="10" t="s">
        <v>120</v>
      </c>
      <c r="C253" s="7">
        <f>C252/38626</f>
        <v>0.05599855019934759</v>
      </c>
      <c r="D253" s="7">
        <f>D252/38626</f>
        <v>0.8338424895148345</v>
      </c>
      <c r="E253" s="7">
        <f>E252/38626</f>
        <v>0.07277481489152385</v>
      </c>
      <c r="F253" s="7">
        <f>F252/38626</f>
        <v>0.037384145394294</v>
      </c>
      <c r="G253" s="7">
        <f aca="true" t="shared" si="36" ref="G253:M253">G252/64728</f>
        <v>0.10595105672969966</v>
      </c>
      <c r="H253" s="7">
        <f t="shared" si="36"/>
        <v>0.0070448646644419724</v>
      </c>
      <c r="I253" s="7">
        <f t="shared" si="36"/>
        <v>0.3944506241502904</v>
      </c>
      <c r="J253" s="7">
        <f t="shared" si="36"/>
        <v>0.4757755530836732</v>
      </c>
      <c r="K253" s="7">
        <f t="shared" si="36"/>
        <v>0.008775182301322458</v>
      </c>
      <c r="L253" s="7">
        <f t="shared" si="36"/>
        <v>0.0015140279322704239</v>
      </c>
      <c r="M253" s="7">
        <f t="shared" si="36"/>
        <v>0.006488691138301817</v>
      </c>
      <c r="N253" s="7">
        <f>N252/661</f>
        <v>1</v>
      </c>
      <c r="O253" s="7">
        <f>O252/206</f>
        <v>1</v>
      </c>
      <c r="P253" s="7">
        <v>1</v>
      </c>
      <c r="Q253" s="7">
        <f>Q252/34</f>
        <v>1</v>
      </c>
    </row>
    <row r="254" spans="2:17" ht="4.5" customHeight="1">
      <c r="B254" s="1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9">
      <c r="A255" s="5" t="s">
        <v>116</v>
      </c>
      <c r="B255" s="1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ht="9">
      <c r="B256" s="9" t="s">
        <v>104</v>
      </c>
      <c r="C256" s="3">
        <v>309</v>
      </c>
      <c r="D256" s="3">
        <v>3349</v>
      </c>
      <c r="E256" s="3">
        <v>480</v>
      </c>
      <c r="F256" s="3">
        <v>308</v>
      </c>
      <c r="G256" s="3">
        <v>1073</v>
      </c>
      <c r="H256" s="3">
        <v>43</v>
      </c>
      <c r="I256" s="3">
        <v>5098</v>
      </c>
      <c r="J256" s="3">
        <v>6809</v>
      </c>
      <c r="K256" s="3">
        <v>77</v>
      </c>
      <c r="L256" s="3">
        <v>16</v>
      </c>
      <c r="M256" s="3">
        <v>61</v>
      </c>
      <c r="N256" s="3">
        <v>97</v>
      </c>
      <c r="O256" s="3">
        <v>72</v>
      </c>
      <c r="P256" s="3">
        <v>108</v>
      </c>
      <c r="Q256" s="3">
        <v>11</v>
      </c>
    </row>
    <row r="257" spans="2:17" ht="9">
      <c r="B257" s="9" t="s">
        <v>113</v>
      </c>
      <c r="C257" s="3">
        <v>2269</v>
      </c>
      <c r="D257" s="3">
        <v>26552</v>
      </c>
      <c r="E257" s="3">
        <v>2899</v>
      </c>
      <c r="F257" s="3">
        <v>1826</v>
      </c>
      <c r="G257" s="3">
        <v>9432</v>
      </c>
      <c r="H257" s="3">
        <v>302</v>
      </c>
      <c r="I257" s="3">
        <v>17990</v>
      </c>
      <c r="J257" s="3">
        <v>42803</v>
      </c>
      <c r="K257" s="3">
        <v>474</v>
      </c>
      <c r="L257" s="3">
        <v>101</v>
      </c>
      <c r="M257" s="3">
        <v>310</v>
      </c>
      <c r="N257" s="3">
        <v>648</v>
      </c>
      <c r="O257" s="3">
        <v>414</v>
      </c>
      <c r="P257" s="3">
        <v>547</v>
      </c>
      <c r="Q257" s="3">
        <v>110</v>
      </c>
    </row>
    <row r="258" spans="1:17" ht="9">
      <c r="A258" s="4" t="s">
        <v>34</v>
      </c>
      <c r="C258" s="3">
        <v>2578</v>
      </c>
      <c r="D258" s="3">
        <v>29901</v>
      </c>
      <c r="E258" s="3">
        <v>3379</v>
      </c>
      <c r="F258" s="3">
        <v>2134</v>
      </c>
      <c r="G258" s="3">
        <v>10505</v>
      </c>
      <c r="H258" s="3">
        <v>345</v>
      </c>
      <c r="I258" s="3">
        <v>23088</v>
      </c>
      <c r="J258" s="3">
        <v>49612</v>
      </c>
      <c r="K258" s="3">
        <v>551</v>
      </c>
      <c r="L258" s="3">
        <v>117</v>
      </c>
      <c r="M258" s="3">
        <v>371</v>
      </c>
      <c r="N258" s="3">
        <v>745</v>
      </c>
      <c r="O258" s="3">
        <v>486</v>
      </c>
      <c r="P258" s="3">
        <v>655</v>
      </c>
      <c r="Q258" s="3">
        <v>121</v>
      </c>
    </row>
    <row r="259" spans="2:17" s="6" customFormat="1" ht="9">
      <c r="B259" s="10" t="s">
        <v>120</v>
      </c>
      <c r="C259" s="7">
        <f>C258/37992</f>
        <v>0.06785639081911982</v>
      </c>
      <c r="D259" s="7">
        <f>D258/37992</f>
        <v>0.7870341124447252</v>
      </c>
      <c r="E259" s="7">
        <f>E258/37992</f>
        <v>0.08893977679511476</v>
      </c>
      <c r="F259" s="7">
        <f>F258/37992</f>
        <v>0.05616971994104022</v>
      </c>
      <c r="G259" s="7">
        <f aca="true" t="shared" si="37" ref="G259:M259">G258/84589</f>
        <v>0.12418872430221424</v>
      </c>
      <c r="H259" s="7">
        <f t="shared" si="37"/>
        <v>0.004078544491600563</v>
      </c>
      <c r="I259" s="7">
        <f t="shared" si="37"/>
        <v>0.2729432904987646</v>
      </c>
      <c r="J259" s="7">
        <f t="shared" si="37"/>
        <v>0.5865065197602525</v>
      </c>
      <c r="K259" s="7">
        <f t="shared" si="37"/>
        <v>0.006513849318469304</v>
      </c>
      <c r="L259" s="7">
        <f t="shared" si="37"/>
        <v>0.0013831585667167126</v>
      </c>
      <c r="M259" s="7">
        <f t="shared" si="37"/>
        <v>0.004385913061982054</v>
      </c>
      <c r="N259" s="7">
        <f>N258/745</f>
        <v>1</v>
      </c>
      <c r="O259" s="7">
        <f>O258/486</f>
        <v>1</v>
      </c>
      <c r="P259" s="7">
        <v>1</v>
      </c>
      <c r="Q259" s="7">
        <f>Q258/121</f>
        <v>1</v>
      </c>
    </row>
    <row r="260" spans="2:17" ht="4.5" customHeight="1">
      <c r="B260" s="1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9">
      <c r="A261" s="5" t="s">
        <v>117</v>
      </c>
      <c r="B261" s="1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ht="9">
      <c r="B262" s="9" t="s">
        <v>113</v>
      </c>
      <c r="C262" s="3">
        <v>2901</v>
      </c>
      <c r="D262" s="3">
        <v>46836</v>
      </c>
      <c r="E262" s="3">
        <v>3925</v>
      </c>
      <c r="F262" s="3">
        <v>2276</v>
      </c>
      <c r="G262" s="3">
        <v>8795</v>
      </c>
      <c r="H262" s="3">
        <v>477</v>
      </c>
      <c r="I262" s="3">
        <v>15598</v>
      </c>
      <c r="J262" s="3">
        <v>32904</v>
      </c>
      <c r="K262" s="3">
        <v>520</v>
      </c>
      <c r="L262" s="3">
        <v>185</v>
      </c>
      <c r="M262" s="3">
        <v>430</v>
      </c>
      <c r="N262" s="3">
        <v>732</v>
      </c>
      <c r="O262" s="3">
        <v>970</v>
      </c>
      <c r="P262" s="3">
        <v>799</v>
      </c>
      <c r="Q262" s="3">
        <v>189</v>
      </c>
    </row>
    <row r="263" spans="1:17" ht="9">
      <c r="A263" s="4" t="s">
        <v>34</v>
      </c>
      <c r="C263" s="3">
        <v>2901</v>
      </c>
      <c r="D263" s="3">
        <v>46836</v>
      </c>
      <c r="E263" s="3">
        <v>3925</v>
      </c>
      <c r="F263" s="3">
        <v>2276</v>
      </c>
      <c r="G263" s="3">
        <v>8795</v>
      </c>
      <c r="H263" s="3">
        <v>477</v>
      </c>
      <c r="I263" s="3">
        <v>15598</v>
      </c>
      <c r="J263" s="3">
        <v>32904</v>
      </c>
      <c r="K263" s="3">
        <v>520</v>
      </c>
      <c r="L263" s="3">
        <v>185</v>
      </c>
      <c r="M263" s="3">
        <v>430</v>
      </c>
      <c r="N263" s="3">
        <v>732</v>
      </c>
      <c r="O263" s="3">
        <v>970</v>
      </c>
      <c r="P263" s="3">
        <v>799</v>
      </c>
      <c r="Q263" s="3">
        <v>189</v>
      </c>
    </row>
    <row r="264" spans="2:17" s="6" customFormat="1" ht="9">
      <c r="B264" s="10" t="s">
        <v>120</v>
      </c>
      <c r="C264" s="7">
        <f>C263/55938</f>
        <v>0.05186098895205406</v>
      </c>
      <c r="D264" s="7">
        <f>D263/55938</f>
        <v>0.8372841360077229</v>
      </c>
      <c r="E264" s="7">
        <f>E263/55938</f>
        <v>0.0701669705745647</v>
      </c>
      <c r="F264" s="7">
        <f>F263/55938</f>
        <v>0.040687904465658405</v>
      </c>
      <c r="G264" s="7">
        <f aca="true" t="shared" si="38" ref="G264:M264">G263/58909</f>
        <v>0.14929806990442887</v>
      </c>
      <c r="H264" s="7">
        <f t="shared" si="38"/>
        <v>0.008097234717954812</v>
      </c>
      <c r="I264" s="7">
        <f t="shared" si="38"/>
        <v>0.2647812728106062</v>
      </c>
      <c r="J264" s="7">
        <f t="shared" si="38"/>
        <v>0.5585564175253357</v>
      </c>
      <c r="K264" s="7">
        <f t="shared" si="38"/>
        <v>0.008827174116009438</v>
      </c>
      <c r="L264" s="7">
        <f t="shared" si="38"/>
        <v>0.0031404369451187423</v>
      </c>
      <c r="M264" s="7">
        <f t="shared" si="38"/>
        <v>0.007299393980546266</v>
      </c>
      <c r="N264" s="7">
        <f>N263/732</f>
        <v>1</v>
      </c>
      <c r="O264" s="7">
        <f>O263/970</f>
        <v>1</v>
      </c>
      <c r="P264" s="7">
        <v>1</v>
      </c>
      <c r="Q264" s="7">
        <f>Q263/189</f>
        <v>1</v>
      </c>
    </row>
    <row r="265" spans="2:17" ht="4.5" customHeight="1">
      <c r="B265" s="1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9">
      <c r="A266" s="5" t="s">
        <v>119</v>
      </c>
      <c r="B266" s="1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ht="9">
      <c r="B267" s="9" t="s">
        <v>118</v>
      </c>
      <c r="C267" s="3">
        <v>837</v>
      </c>
      <c r="D267" s="3">
        <v>6822</v>
      </c>
      <c r="E267" s="3">
        <v>1542</v>
      </c>
      <c r="F267" s="3">
        <v>270</v>
      </c>
      <c r="G267" s="3">
        <v>1457</v>
      </c>
      <c r="H267" s="3">
        <v>63</v>
      </c>
      <c r="I267" s="3">
        <v>2223</v>
      </c>
      <c r="J267" s="3">
        <v>2016</v>
      </c>
      <c r="K267" s="3">
        <v>121</v>
      </c>
      <c r="L267" s="3">
        <v>18</v>
      </c>
      <c r="M267" s="3">
        <v>83</v>
      </c>
      <c r="N267" s="3">
        <v>137</v>
      </c>
      <c r="O267" s="3">
        <v>26</v>
      </c>
      <c r="P267" s="3">
        <v>33</v>
      </c>
      <c r="Q267" s="3">
        <v>5</v>
      </c>
    </row>
    <row r="268" spans="2:17" ht="9">
      <c r="B268" s="9" t="s">
        <v>107</v>
      </c>
      <c r="C268" s="3">
        <v>319</v>
      </c>
      <c r="D268" s="3">
        <v>5145</v>
      </c>
      <c r="E268" s="3">
        <v>654</v>
      </c>
      <c r="F268" s="3">
        <v>166</v>
      </c>
      <c r="G268" s="3">
        <v>554</v>
      </c>
      <c r="H268" s="3">
        <v>16</v>
      </c>
      <c r="I268" s="3">
        <v>2008</v>
      </c>
      <c r="J268" s="3">
        <v>2395</v>
      </c>
      <c r="K268" s="3">
        <v>49</v>
      </c>
      <c r="L268" s="3">
        <v>19</v>
      </c>
      <c r="M268" s="3">
        <v>36</v>
      </c>
      <c r="N268" s="3">
        <v>64</v>
      </c>
      <c r="O268" s="3">
        <v>21</v>
      </c>
      <c r="P268" s="3">
        <v>19</v>
      </c>
      <c r="Q268" s="3">
        <v>8</v>
      </c>
    </row>
    <row r="269" spans="2:17" ht="9">
      <c r="B269" s="9" t="s">
        <v>113</v>
      </c>
      <c r="C269" s="3">
        <v>1867</v>
      </c>
      <c r="D269" s="3">
        <v>16873</v>
      </c>
      <c r="E269" s="3">
        <v>1901</v>
      </c>
      <c r="F269" s="3">
        <v>837</v>
      </c>
      <c r="G269" s="3">
        <v>3212</v>
      </c>
      <c r="H269" s="3">
        <v>185</v>
      </c>
      <c r="I269" s="3">
        <v>4539</v>
      </c>
      <c r="J269" s="3">
        <v>11496</v>
      </c>
      <c r="K269" s="3">
        <v>206</v>
      </c>
      <c r="L269" s="3">
        <v>62</v>
      </c>
      <c r="M269" s="3">
        <v>251</v>
      </c>
      <c r="N269" s="3">
        <v>287</v>
      </c>
      <c r="O269" s="3">
        <v>163</v>
      </c>
      <c r="P269" s="3">
        <v>141</v>
      </c>
      <c r="Q269" s="3">
        <v>55</v>
      </c>
    </row>
    <row r="270" spans="1:17" ht="9">
      <c r="A270" s="4" t="s">
        <v>34</v>
      </c>
      <c r="C270" s="3">
        <v>3023</v>
      </c>
      <c r="D270" s="3">
        <v>28840</v>
      </c>
      <c r="E270" s="3">
        <v>4097</v>
      </c>
      <c r="F270" s="3">
        <v>1273</v>
      </c>
      <c r="G270" s="3">
        <v>5223</v>
      </c>
      <c r="H270" s="3">
        <v>264</v>
      </c>
      <c r="I270" s="3">
        <v>8770</v>
      </c>
      <c r="J270" s="3">
        <v>15907</v>
      </c>
      <c r="K270" s="3">
        <v>376</v>
      </c>
      <c r="L270" s="3">
        <v>99</v>
      </c>
      <c r="M270" s="3">
        <v>370</v>
      </c>
      <c r="N270" s="3">
        <v>488</v>
      </c>
      <c r="O270" s="3">
        <v>210</v>
      </c>
      <c r="P270" s="3">
        <v>193</v>
      </c>
      <c r="Q270" s="3">
        <v>68</v>
      </c>
    </row>
    <row r="271" spans="2:17" s="6" customFormat="1" ht="9">
      <c r="B271" s="10" t="s">
        <v>120</v>
      </c>
      <c r="C271" s="7">
        <f>C270/37233</f>
        <v>0.08119141621679693</v>
      </c>
      <c r="D271" s="7">
        <f>D270/37233</f>
        <v>0.774581688287272</v>
      </c>
      <c r="E271" s="7">
        <f>E270/37233</f>
        <v>0.11003679531598314</v>
      </c>
      <c r="F271" s="7">
        <f>F270/37233</f>
        <v>0.0341901001799479</v>
      </c>
      <c r="G271" s="7">
        <f aca="true" t="shared" si="39" ref="G271:M271">G270/31009</f>
        <v>0.1684349704924377</v>
      </c>
      <c r="H271" s="7">
        <f t="shared" si="39"/>
        <v>0.008513657325292657</v>
      </c>
      <c r="I271" s="7">
        <f t="shared" si="39"/>
        <v>0.28282111645006286</v>
      </c>
      <c r="J271" s="7">
        <f t="shared" si="39"/>
        <v>0.5129801025508723</v>
      </c>
      <c r="K271" s="7">
        <f t="shared" si="39"/>
        <v>0.012125511948144088</v>
      </c>
      <c r="L271" s="7">
        <f t="shared" si="39"/>
        <v>0.0031926214969847464</v>
      </c>
      <c r="M271" s="7">
        <f t="shared" si="39"/>
        <v>0.011932019736205618</v>
      </c>
      <c r="N271" s="7">
        <f>N270/488</f>
        <v>1</v>
      </c>
      <c r="O271" s="7">
        <f>O270/210</f>
        <v>1</v>
      </c>
      <c r="P271" s="7">
        <v>1</v>
      </c>
      <c r="Q271" s="7">
        <f>Q270/68</f>
        <v>1</v>
      </c>
    </row>
    <row r="272" spans="2:17" ht="4.5" customHeight="1">
      <c r="B272" s="1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ht="9">
      <c r="B273" s="1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</sheetData>
  <printOptions/>
  <pageMargins left="0.8999999999999999" right="0.8999999999999999" top="1" bottom="0.8" header="0.3" footer="0.3"/>
  <pageSetup firstPageNumber="95" useFirstPageNumber="1" horizontalDpi="600" verticalDpi="600" orientation="portrait" pageOrder="overThenDown" r:id="rId1"/>
  <headerFooter alignWithMargins="0">
    <oddHeader>&amp;C&amp;"Arial,Bold"&amp;11Supplement to the Statement of Vote
Counties by Senate Districts
for Governor</oddHeader>
    <oddFooter>&amp;C&amp;"Arial,Regular"&amp;8&amp;P</oddFooter>
  </headerFooter>
  <rowBreaks count="3" manualBreakCount="3">
    <brk id="69" max="255" man="1"/>
    <brk id="135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2002-06-17T20:45:21Z</cp:lastPrinted>
  <dcterms:created xsi:type="dcterms:W3CDTF">2002-06-05T23:26:41Z</dcterms:created>
  <dcterms:modified xsi:type="dcterms:W3CDTF">2013-04-18T16:09:16Z</dcterms:modified>
  <cp:category/>
  <cp:version/>
  <cp:contentType/>
  <cp:contentStatus/>
</cp:coreProperties>
</file>