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US-Senate SSOV by Assembly Dist" sheetId="1" r:id="rId1"/>
  </sheets>
  <definedNames>
    <definedName name="_xlnm.Print_Area" localSheetId="0">'US-Senate SSOV by Assembly Dist'!$A$1:$Q$481</definedName>
    <definedName name="_xlnm.Print_Titles" localSheetId="0">'US-Senate SSOV by Assembly Dist'!$A:$B,'US-Senate SSOV by Assembly Dist'!$1:$2</definedName>
  </definedNames>
  <calcPr fullCalcOnLoad="1"/>
</workbook>
</file>

<file path=xl/sharedStrings.xml><?xml version="1.0" encoding="utf-8"?>
<sst xmlns="http://schemas.openxmlformats.org/spreadsheetml/2006/main" count="428" uniqueCount="160">
  <si>
    <t>Barbara Boxer</t>
  </si>
  <si>
    <t>James Stewart</t>
  </si>
  <si>
    <t>Rosario Marin</t>
  </si>
  <si>
    <t>John M. Van Zandt</t>
  </si>
  <si>
    <t>Barry L. Hatch</t>
  </si>
  <si>
    <t>Howard Kaloogian</t>
  </si>
  <si>
    <t>Don J. Grundmann</t>
  </si>
  <si>
    <t>Gail K. Lightfoot</t>
  </si>
  <si>
    <t>James P. "Jim" Gray</t>
  </si>
  <si>
    <t>Marsha Feinland</t>
  </si>
  <si>
    <t>DEM</t>
  </si>
  <si>
    <t>REP</t>
  </si>
  <si>
    <t>AI</t>
  </si>
  <si>
    <t>LIB</t>
  </si>
  <si>
    <t>PF</t>
  </si>
  <si>
    <t>Del Norte</t>
  </si>
  <si>
    <t>Humboldt</t>
  </si>
  <si>
    <t>Lake</t>
  </si>
  <si>
    <t>Mendocino</t>
  </si>
  <si>
    <t>Sonoma</t>
  </si>
  <si>
    <t>Trinity</t>
  </si>
  <si>
    <t>State Assembly District 1 (2000)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</si>
  <si>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</si>
  <si>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</si>
  <si>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</si>
  <si>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</si>
  <si>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</si>
  <si>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</si>
  <si>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</si>
  <si>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</si>
  <si>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</si>
  <si>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</si>
  <si>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 (2000)</t>
  </si>
  <si>
    <t>Lassen</t>
  </si>
  <si>
    <t>Nevada</t>
  </si>
  <si>
    <t>Placer</t>
  </si>
  <si>
    <t>Plumas</t>
  </si>
  <si>
    <t>Sierra</t>
  </si>
  <si>
    <t>Yuba</t>
  </si>
  <si>
    <t>State Assembly District 3 (2000)</t>
  </si>
  <si>
    <t>Alpine</t>
  </si>
  <si>
    <t>El Dorado</t>
  </si>
  <si>
    <t>Sacramento</t>
  </si>
  <si>
    <t>State Assembly District 4 (2000)</t>
  </si>
  <si>
    <t>State Assembly District 5 (2000)</t>
  </si>
  <si>
    <t>Marin</t>
  </si>
  <si>
    <t>State Assembly District 6 (2000)</t>
  </si>
  <si>
    <t>Napa</t>
  </si>
  <si>
    <t>Solano</t>
  </si>
  <si>
    <t>State Assembly District 7 (2000)</t>
  </si>
  <si>
    <t>State Assembly District 8 (2000)</t>
  </si>
  <si>
    <t>State Assembly District 9 (2000)</t>
  </si>
  <si>
    <t>Amador</t>
  </si>
  <si>
    <t>San Joaquin</t>
  </si>
  <si>
    <t>State Assembly District 10 (2000)</t>
  </si>
  <si>
    <t>Contra Costa</t>
  </si>
  <si>
    <t>State Assembly District 11 (2000)</t>
  </si>
  <si>
    <t>San Francisco</t>
  </si>
  <si>
    <t>San Mateo</t>
  </si>
  <si>
    <t>State Assembly District 12 (2000)</t>
  </si>
  <si>
    <t>State Assembly District 13 (2000)</t>
  </si>
  <si>
    <t>Alameda</t>
  </si>
  <si>
    <t>State Assembly District 14 (2000)</t>
  </si>
  <si>
    <t>State Assembly District 15 (2000)</t>
  </si>
  <si>
    <t>State Assembly District 16 (2000)</t>
  </si>
  <si>
    <t>Merced</t>
  </si>
  <si>
    <t>Stanislaus</t>
  </si>
  <si>
    <t>State Assembly District 17 (2000)</t>
  </si>
  <si>
    <t>State Assembly District 18 (2000)</t>
  </si>
  <si>
    <t>State Assembly District 19 (2000)</t>
  </si>
  <si>
    <t>Santa Clara</t>
  </si>
  <si>
    <t>State Assembly District 20 (2000)</t>
  </si>
  <si>
    <t>State Assembly District 21 (2000)</t>
  </si>
  <si>
    <t>State Assembly District 22 (2000)</t>
  </si>
  <si>
    <t>State Assembly District 23 (2000)</t>
  </si>
  <si>
    <t>State Assembly District 24 (2000)</t>
  </si>
  <si>
    <t>Calaveras</t>
  </si>
  <si>
    <t>Madera</t>
  </si>
  <si>
    <t>Mariposa</t>
  </si>
  <si>
    <t>Mono</t>
  </si>
  <si>
    <t>Tuolumne</t>
  </si>
  <si>
    <t>State Assembly District 25 (2000)</t>
  </si>
  <si>
    <t>State Assembly District 26 (2000)</t>
  </si>
  <si>
    <t>Monterey</t>
  </si>
  <si>
    <t>Santa Cruz</t>
  </si>
  <si>
    <t>State Assembly District 27 (2000)</t>
  </si>
  <si>
    <t>San Benito</t>
  </si>
  <si>
    <t>State Assembly District 28 (2000)</t>
  </si>
  <si>
    <t>Fresno</t>
  </si>
  <si>
    <t>Tulare</t>
  </si>
  <si>
    <t>State Assembly District 29 (2000)</t>
  </si>
  <si>
    <t>Kern</t>
  </si>
  <si>
    <t>Kings</t>
  </si>
  <si>
    <t>State Assembly District 30 (2000)</t>
  </si>
  <si>
    <t>State Assembly District 31 (2000)</t>
  </si>
  <si>
    <t>San Bernardino</t>
  </si>
  <si>
    <t>State Assembly District 32 (2000)</t>
  </si>
  <si>
    <t>San Luis Obispo</t>
  </si>
  <si>
    <t>Santa Barbara</t>
  </si>
  <si>
    <t>State Assembly District 33 (2000)</t>
  </si>
  <si>
    <t>Inyo</t>
  </si>
  <si>
    <t>State Assembly District 34 (2000)</t>
  </si>
  <si>
    <t>Ventura</t>
  </si>
  <si>
    <t>State Assembly District 35 (2000)</t>
  </si>
  <si>
    <t>Los Angeles</t>
  </si>
  <si>
    <t>State Assembly District 36 (2000)</t>
  </si>
  <si>
    <t>State Assembly District 37 (2000)</t>
  </si>
  <si>
    <t>State Assembly District 38 (2000)</t>
  </si>
  <si>
    <t>State Assembly District 39 (2000)</t>
  </si>
  <si>
    <t>State Assembly District 40 (2000)</t>
  </si>
  <si>
    <t>State Assembly District 41 (2000)</t>
  </si>
  <si>
    <t>State Assembly District 42 (2000)</t>
  </si>
  <si>
    <t>State Assembly District 43 (2000)</t>
  </si>
  <si>
    <t>State Assembly District 44 (2000)</t>
  </si>
  <si>
    <t>State Assembly District 45 (2000)</t>
  </si>
  <si>
    <t>State Assembly District 46 (2000)</t>
  </si>
  <si>
    <t>State Assembly District 47 (2000)</t>
  </si>
  <si>
    <t>State Assembly District 48 (2000)</t>
  </si>
  <si>
    <t>State Assembly District 49 (2000)</t>
  </si>
  <si>
    <t>State Assembly District 50 (2000)</t>
  </si>
  <si>
    <t>State Assembly District 51 (2000)</t>
  </si>
  <si>
    <t>State Assembly District 52 (2000)</t>
  </si>
  <si>
    <t>State Assembly District 53 (2000)</t>
  </si>
  <si>
    <t>State Assembly District 54 (2000)</t>
  </si>
  <si>
    <t>State Assembly District 55 (2000)</t>
  </si>
  <si>
    <t>Orange</t>
  </si>
  <si>
    <t>State Assembly District 56 (2000)</t>
  </si>
  <si>
    <t>State Assembly District 57 (2000)</t>
  </si>
  <si>
    <t>State Assembly District 58 (2000)</t>
  </si>
  <si>
    <t>State Assembly District 59 (2000)</t>
  </si>
  <si>
    <t>State Assembly District 60 (2000)</t>
  </si>
  <si>
    <t>State Assembly District 61 (2000)</t>
  </si>
  <si>
    <t>State Assembly District 62 (2000)</t>
  </si>
  <si>
    <t>Riverside</t>
  </si>
  <si>
    <t>State Assembly District 63 (2000)</t>
  </si>
  <si>
    <t>State Assembly District 64 (2000)</t>
  </si>
  <si>
    <t>State Assembly District 65 (2000)</t>
  </si>
  <si>
    <t>San Diego</t>
  </si>
  <si>
    <t>State Assembly District 66 (2000)</t>
  </si>
  <si>
    <t>State Assembly District 67 (2000)</t>
  </si>
  <si>
    <t>State Assembly District 68 (2000)</t>
  </si>
  <si>
    <t>State Assembly District 69 (2000)</t>
  </si>
  <si>
    <t>State Assembly District 70 (2000)</t>
  </si>
  <si>
    <t>State Assembly District 71 (2000)</t>
  </si>
  <si>
    <t>State Assembly District 72 (2000)</t>
  </si>
  <si>
    <t>State Assembly District 73 (2000)</t>
  </si>
  <si>
    <t>State Assembly District 74 (2000)</t>
  </si>
  <si>
    <t>State Assembly District 75 (2000)</t>
  </si>
  <si>
    <t>State Assembly District 76 (2000)</t>
  </si>
  <si>
    <t>State Assembly District 77 (2000)</t>
  </si>
  <si>
    <t>State Assembly District 78 (2000)</t>
  </si>
  <si>
    <t>State Assembly District 79 (2000)</t>
  </si>
  <si>
    <t>Imperial</t>
  </si>
  <si>
    <t>State Assembly District 80 (2000)</t>
  </si>
  <si>
    <t>Percent, Total</t>
  </si>
  <si>
    <t>Bill 
Quraishi</t>
  </si>
  <si>
    <t>Danney 
Ball</t>
  </si>
  <si>
    <t>Bill 
Jones</t>
  </si>
  <si>
    <t>Toni 
Casey</t>
  </si>
  <si>
    <t>Tim 
Stoen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</si>
</sst>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3" width="5.7109375" style="1" bestFit="1" customWidth="1"/>
    <col min="4" max="4" width="5.421875" style="1" bestFit="1" customWidth="1"/>
    <col min="5" max="5" width="5.8515625" style="1" bestFit="1" customWidth="1"/>
    <col min="6" max="6" width="5.421875" style="1" bestFit="1" customWidth="1"/>
    <col min="7" max="7" width="5.8515625" style="1" bestFit="1" customWidth="1"/>
    <col min="8" max="8" width="7.00390625" style="1" bestFit="1" customWidth="1"/>
    <col min="9" max="9" width="5.421875" style="1" bestFit="1" customWidth="1"/>
    <col min="10" max="10" width="4.8515625" style="1" bestFit="1" customWidth="1"/>
    <col min="11" max="11" width="4.7109375" style="1" bestFit="1" customWidth="1"/>
    <col min="12" max="12" width="7.00390625" style="1" bestFit="1" customWidth="1"/>
    <col min="13" max="13" width="4.57421875" style="1" bestFit="1" customWidth="1"/>
    <col min="14" max="14" width="7.7109375" style="1" customWidth="1"/>
    <col min="15" max="15" width="6.421875" style="1" bestFit="1" customWidth="1"/>
    <col min="16" max="16" width="7.28125" style="1" bestFit="1" customWidth="1"/>
    <col min="17" max="17" width="6.00390625" style="1" bestFit="1" customWidth="1"/>
    <col min="18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155</v>
      </c>
      <c r="F1" s="13" t="s">
        <v>156</v>
      </c>
      <c r="G1" s="13" t="s">
        <v>2</v>
      </c>
      <c r="H1" s="13" t="s">
        <v>3</v>
      </c>
      <c r="I1" s="13" t="s">
        <v>4</v>
      </c>
      <c r="J1" s="13" t="s">
        <v>157</v>
      </c>
      <c r="K1" s="13" t="s">
        <v>158</v>
      </c>
      <c r="L1" s="13" t="s">
        <v>5</v>
      </c>
      <c r="M1" s="13" t="s">
        <v>159</v>
      </c>
      <c r="N1" s="13" t="s">
        <v>6</v>
      </c>
      <c r="O1" s="13" t="s">
        <v>7</v>
      </c>
      <c r="P1" s="13" t="s">
        <v>8</v>
      </c>
      <c r="Q1" s="13" t="s">
        <v>9</v>
      </c>
    </row>
    <row r="2" spans="3:17" s="14" customFormat="1" ht="9">
      <c r="C2" s="15" t="s">
        <v>10</v>
      </c>
      <c r="D2" s="15" t="s">
        <v>11</v>
      </c>
      <c r="E2" s="15" t="s">
        <v>11</v>
      </c>
      <c r="F2" s="15" t="s">
        <v>11</v>
      </c>
      <c r="G2" s="15" t="s">
        <v>11</v>
      </c>
      <c r="H2" s="15" t="s">
        <v>11</v>
      </c>
      <c r="I2" s="15" t="s">
        <v>11</v>
      </c>
      <c r="J2" s="15" t="s">
        <v>11</v>
      </c>
      <c r="K2" s="15" t="s">
        <v>11</v>
      </c>
      <c r="L2" s="15" t="s">
        <v>11</v>
      </c>
      <c r="M2" s="15" t="s">
        <v>11</v>
      </c>
      <c r="N2" s="15" t="s">
        <v>12</v>
      </c>
      <c r="O2" s="15" t="s">
        <v>13</v>
      </c>
      <c r="P2" s="15" t="s">
        <v>13</v>
      </c>
      <c r="Q2" s="15" t="s">
        <v>14</v>
      </c>
    </row>
    <row r="3" spans="1:17" ht="9">
      <c r="A3" s="5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15</v>
      </c>
      <c r="C4" s="3">
        <v>2187</v>
      </c>
      <c r="D4" s="3">
        <v>192</v>
      </c>
      <c r="E4" s="3">
        <v>69</v>
      </c>
      <c r="F4" s="3">
        <v>53</v>
      </c>
      <c r="G4" s="3">
        <v>179</v>
      </c>
      <c r="H4" s="3">
        <v>152</v>
      </c>
      <c r="I4" s="3">
        <v>81</v>
      </c>
      <c r="J4" s="3">
        <v>922</v>
      </c>
      <c r="K4" s="3">
        <v>112</v>
      </c>
      <c r="L4" s="3">
        <v>175</v>
      </c>
      <c r="M4" s="3">
        <v>194</v>
      </c>
      <c r="N4" s="3">
        <v>60</v>
      </c>
      <c r="O4" s="3">
        <v>11</v>
      </c>
      <c r="P4" s="3">
        <v>11</v>
      </c>
      <c r="Q4" s="3">
        <v>1</v>
      </c>
    </row>
    <row r="5" spans="2:17" ht="9">
      <c r="B5" s="9" t="s">
        <v>16</v>
      </c>
      <c r="C5" s="3">
        <v>23174</v>
      </c>
      <c r="D5" s="3">
        <v>1083</v>
      </c>
      <c r="E5" s="3">
        <v>276</v>
      </c>
      <c r="F5" s="3">
        <v>304</v>
      </c>
      <c r="G5" s="3">
        <v>897</v>
      </c>
      <c r="H5" s="3">
        <v>876</v>
      </c>
      <c r="I5" s="3">
        <v>366</v>
      </c>
      <c r="J5" s="3">
        <v>6541</v>
      </c>
      <c r="K5" s="3">
        <v>620</v>
      </c>
      <c r="L5" s="3">
        <v>1093</v>
      </c>
      <c r="M5" s="3">
        <v>1245</v>
      </c>
      <c r="N5" s="3">
        <v>438</v>
      </c>
      <c r="O5" s="3">
        <v>204</v>
      </c>
      <c r="P5" s="3">
        <v>192</v>
      </c>
      <c r="Q5" s="3">
        <v>85</v>
      </c>
    </row>
    <row r="6" spans="2:17" ht="9">
      <c r="B6" s="9" t="s">
        <v>17</v>
      </c>
      <c r="C6" s="3">
        <v>6572</v>
      </c>
      <c r="D6" s="3">
        <v>291</v>
      </c>
      <c r="E6" s="3">
        <v>157</v>
      </c>
      <c r="F6" s="3">
        <v>81</v>
      </c>
      <c r="G6" s="3">
        <v>545</v>
      </c>
      <c r="H6" s="3">
        <v>220</v>
      </c>
      <c r="I6" s="3">
        <v>156</v>
      </c>
      <c r="J6" s="3">
        <v>2457</v>
      </c>
      <c r="K6" s="3">
        <v>439</v>
      </c>
      <c r="L6" s="3">
        <v>536</v>
      </c>
      <c r="M6" s="3">
        <v>433</v>
      </c>
      <c r="N6" s="3">
        <v>113</v>
      </c>
      <c r="O6" s="3">
        <v>35</v>
      </c>
      <c r="P6" s="3">
        <v>42</v>
      </c>
      <c r="Q6" s="3">
        <v>11</v>
      </c>
    </row>
    <row r="7" spans="2:17" ht="9">
      <c r="B7" s="9" t="s">
        <v>18</v>
      </c>
      <c r="C7" s="3">
        <v>13034</v>
      </c>
      <c r="D7" s="3">
        <v>415</v>
      </c>
      <c r="E7" s="3">
        <v>126</v>
      </c>
      <c r="F7" s="3">
        <v>108</v>
      </c>
      <c r="G7" s="3">
        <v>534</v>
      </c>
      <c r="H7" s="3">
        <v>238</v>
      </c>
      <c r="I7" s="3">
        <v>169</v>
      </c>
      <c r="J7" s="3">
        <v>3164</v>
      </c>
      <c r="K7" s="3">
        <v>460</v>
      </c>
      <c r="L7" s="3">
        <v>364</v>
      </c>
      <c r="M7" s="3">
        <v>963</v>
      </c>
      <c r="N7" s="3">
        <v>154</v>
      </c>
      <c r="O7" s="3">
        <v>92</v>
      </c>
      <c r="P7" s="3">
        <v>64</v>
      </c>
      <c r="Q7" s="3">
        <v>48</v>
      </c>
    </row>
    <row r="8" spans="2:17" ht="9">
      <c r="B8" s="9" t="s">
        <v>19</v>
      </c>
      <c r="C8" s="3">
        <v>19370</v>
      </c>
      <c r="D8" s="3">
        <v>526</v>
      </c>
      <c r="E8" s="3">
        <v>212</v>
      </c>
      <c r="F8" s="3">
        <v>168</v>
      </c>
      <c r="G8" s="3">
        <v>696</v>
      </c>
      <c r="H8" s="3">
        <v>457</v>
      </c>
      <c r="I8" s="3">
        <v>276</v>
      </c>
      <c r="J8" s="3">
        <v>4446</v>
      </c>
      <c r="K8" s="3">
        <v>730</v>
      </c>
      <c r="L8" s="3">
        <v>1343</v>
      </c>
      <c r="M8" s="3">
        <v>852</v>
      </c>
      <c r="N8" s="3">
        <v>174</v>
      </c>
      <c r="O8" s="3">
        <v>86</v>
      </c>
      <c r="P8" s="3">
        <v>100</v>
      </c>
      <c r="Q8" s="3">
        <v>69</v>
      </c>
    </row>
    <row r="9" spans="2:17" ht="9">
      <c r="B9" s="9" t="s">
        <v>20</v>
      </c>
      <c r="C9" s="3">
        <v>1583</v>
      </c>
      <c r="D9" s="3">
        <v>144</v>
      </c>
      <c r="E9" s="3">
        <v>41</v>
      </c>
      <c r="F9" s="3">
        <v>28</v>
      </c>
      <c r="G9" s="3">
        <v>155</v>
      </c>
      <c r="H9" s="3">
        <v>82</v>
      </c>
      <c r="I9" s="3">
        <v>51</v>
      </c>
      <c r="J9" s="3">
        <v>744</v>
      </c>
      <c r="K9" s="3">
        <v>151</v>
      </c>
      <c r="L9" s="3">
        <v>97</v>
      </c>
      <c r="M9" s="3">
        <v>107</v>
      </c>
      <c r="N9" s="3">
        <v>50</v>
      </c>
      <c r="O9" s="3">
        <v>20</v>
      </c>
      <c r="P9" s="3">
        <v>14</v>
      </c>
      <c r="Q9" s="3">
        <v>8</v>
      </c>
    </row>
    <row r="10" spans="1:17" ht="9">
      <c r="A10" s="4" t="s">
        <v>22</v>
      </c>
      <c r="C10" s="3">
        <v>65920</v>
      </c>
      <c r="D10" s="3">
        <v>2651</v>
      </c>
      <c r="E10" s="3">
        <v>881</v>
      </c>
      <c r="F10" s="3">
        <v>742</v>
      </c>
      <c r="G10" s="3">
        <v>3006</v>
      </c>
      <c r="H10" s="3">
        <v>2025</v>
      </c>
      <c r="I10" s="3">
        <v>1099</v>
      </c>
      <c r="J10" s="3">
        <v>18274</v>
      </c>
      <c r="K10" s="3">
        <v>2512</v>
      </c>
      <c r="L10" s="3">
        <v>3608</v>
      </c>
      <c r="M10" s="3">
        <v>3794</v>
      </c>
      <c r="N10" s="3">
        <v>989</v>
      </c>
      <c r="O10" s="3">
        <v>448</v>
      </c>
      <c r="P10" s="3">
        <v>423</v>
      </c>
      <c r="Q10" s="3">
        <v>222</v>
      </c>
    </row>
    <row r="11" spans="2:17" s="6" customFormat="1" ht="9">
      <c r="B11" s="10" t="s">
        <v>154</v>
      </c>
      <c r="C11" s="7">
        <f>C10/65920</f>
        <v>1</v>
      </c>
      <c r="D11" s="7">
        <f aca="true" t="shared" si="0" ref="D11:M11">D10/38592</f>
        <v>0.06869299336650082</v>
      </c>
      <c r="E11" s="7">
        <f t="shared" si="0"/>
        <v>0.02282856550580431</v>
      </c>
      <c r="F11" s="7">
        <f t="shared" si="0"/>
        <v>0.019226782752902155</v>
      </c>
      <c r="G11" s="7">
        <f t="shared" si="0"/>
        <v>0.07789179104477612</v>
      </c>
      <c r="H11" s="7">
        <f t="shared" si="0"/>
        <v>0.05247201492537314</v>
      </c>
      <c r="I11" s="7">
        <f t="shared" si="0"/>
        <v>0.02847740464344942</v>
      </c>
      <c r="J11" s="7">
        <f t="shared" si="0"/>
        <v>0.47351782752902155</v>
      </c>
      <c r="K11" s="7">
        <f t="shared" si="0"/>
        <v>0.06509121061359867</v>
      </c>
      <c r="L11" s="7">
        <f t="shared" si="0"/>
        <v>0.09349087893864014</v>
      </c>
      <c r="M11" s="7">
        <f t="shared" si="0"/>
        <v>0.09831053067993366</v>
      </c>
      <c r="N11" s="7">
        <f>N10/989</f>
        <v>1</v>
      </c>
      <c r="O11" s="7">
        <f>O10/871</f>
        <v>0.5143513203214696</v>
      </c>
      <c r="P11" s="7">
        <f>P10/871</f>
        <v>0.4856486796785304</v>
      </c>
      <c r="Q11" s="7">
        <f>Q10/222</f>
        <v>1</v>
      </c>
    </row>
    <row r="12" spans="2:17" ht="4.5" customHeight="1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9">
      <c r="A13" s="5" t="s">
        <v>32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9">
      <c r="B14" s="9" t="s">
        <v>23</v>
      </c>
      <c r="C14" s="3">
        <v>1194</v>
      </c>
      <c r="D14" s="3">
        <v>127</v>
      </c>
      <c r="E14" s="3">
        <v>27</v>
      </c>
      <c r="F14" s="3">
        <v>25</v>
      </c>
      <c r="G14" s="3">
        <v>429</v>
      </c>
      <c r="H14" s="3">
        <v>38</v>
      </c>
      <c r="I14" s="3">
        <v>59</v>
      </c>
      <c r="J14" s="3">
        <v>1822</v>
      </c>
      <c r="K14" s="3">
        <v>132</v>
      </c>
      <c r="L14" s="3">
        <v>137</v>
      </c>
      <c r="M14" s="3">
        <v>89</v>
      </c>
      <c r="N14" s="3">
        <v>27</v>
      </c>
      <c r="O14" s="3">
        <v>14</v>
      </c>
      <c r="P14" s="3">
        <v>6</v>
      </c>
      <c r="Q14" s="3">
        <v>2</v>
      </c>
    </row>
    <row r="15" spans="2:17" ht="9">
      <c r="B15" s="9" t="s">
        <v>24</v>
      </c>
      <c r="C15" s="3">
        <v>1125</v>
      </c>
      <c r="D15" s="3">
        <v>84</v>
      </c>
      <c r="E15" s="3">
        <v>15</v>
      </c>
      <c r="F15" s="3">
        <v>12</v>
      </c>
      <c r="G15" s="3">
        <v>183</v>
      </c>
      <c r="H15" s="3">
        <v>39</v>
      </c>
      <c r="I15" s="3">
        <v>42</v>
      </c>
      <c r="J15" s="3">
        <v>1372</v>
      </c>
      <c r="K15" s="3">
        <v>92</v>
      </c>
      <c r="L15" s="3">
        <v>95</v>
      </c>
      <c r="M15" s="3">
        <v>54</v>
      </c>
      <c r="N15" s="3">
        <v>45</v>
      </c>
      <c r="O15" s="3">
        <v>5</v>
      </c>
      <c r="P15" s="3">
        <v>4</v>
      </c>
      <c r="Q15" s="3">
        <v>5</v>
      </c>
    </row>
    <row r="16" spans="2:17" ht="9">
      <c r="B16" s="9" t="s">
        <v>25</v>
      </c>
      <c r="C16" s="3">
        <v>1723</v>
      </c>
      <c r="D16" s="3">
        <v>186</v>
      </c>
      <c r="E16" s="3">
        <v>47</v>
      </c>
      <c r="F16" s="3">
        <v>38</v>
      </c>
      <c r="G16" s="3">
        <v>287</v>
      </c>
      <c r="H16" s="3">
        <v>47</v>
      </c>
      <c r="I16" s="3">
        <v>66</v>
      </c>
      <c r="J16" s="3">
        <v>1877</v>
      </c>
      <c r="K16" s="3">
        <v>146</v>
      </c>
      <c r="L16" s="3">
        <v>219</v>
      </c>
      <c r="M16" s="3">
        <v>119</v>
      </c>
      <c r="N16" s="3">
        <v>44</v>
      </c>
      <c r="O16" s="3">
        <v>5</v>
      </c>
      <c r="P16" s="3">
        <v>8</v>
      </c>
      <c r="Q16" s="3">
        <v>3</v>
      </c>
    </row>
    <row r="17" spans="2:17" ht="9">
      <c r="B17" s="9" t="s">
        <v>26</v>
      </c>
      <c r="C17" s="3">
        <v>866</v>
      </c>
      <c r="D17" s="3">
        <v>93</v>
      </c>
      <c r="E17" s="3">
        <v>26</v>
      </c>
      <c r="F17" s="3">
        <v>14</v>
      </c>
      <c r="G17" s="3">
        <v>108</v>
      </c>
      <c r="H17" s="3">
        <v>37</v>
      </c>
      <c r="I17" s="3">
        <v>41</v>
      </c>
      <c r="J17" s="3">
        <v>948</v>
      </c>
      <c r="K17" s="3">
        <v>125</v>
      </c>
      <c r="L17" s="3">
        <v>102</v>
      </c>
      <c r="M17" s="3">
        <v>69</v>
      </c>
      <c r="N17" s="3">
        <v>37</v>
      </c>
      <c r="O17" s="3">
        <v>9</v>
      </c>
      <c r="P17" s="3">
        <v>6</v>
      </c>
      <c r="Q17" s="3">
        <v>0</v>
      </c>
    </row>
    <row r="18" spans="2:17" ht="9">
      <c r="B18" s="9" t="s">
        <v>27</v>
      </c>
      <c r="C18" s="3">
        <v>13306</v>
      </c>
      <c r="D18" s="3">
        <v>1245</v>
      </c>
      <c r="E18" s="3">
        <v>279</v>
      </c>
      <c r="F18" s="3">
        <v>328</v>
      </c>
      <c r="G18" s="3">
        <v>3529</v>
      </c>
      <c r="H18" s="3">
        <v>433</v>
      </c>
      <c r="I18" s="3">
        <v>591</v>
      </c>
      <c r="J18" s="3">
        <v>9676</v>
      </c>
      <c r="K18" s="3">
        <v>1218</v>
      </c>
      <c r="L18" s="3">
        <v>1846</v>
      </c>
      <c r="M18" s="3">
        <v>1364</v>
      </c>
      <c r="N18" s="3">
        <v>315</v>
      </c>
      <c r="O18" s="3">
        <v>95</v>
      </c>
      <c r="P18" s="3">
        <v>77</v>
      </c>
      <c r="Q18" s="3">
        <v>21</v>
      </c>
    </row>
    <row r="19" spans="2:17" ht="9">
      <c r="B19" s="9" t="s">
        <v>28</v>
      </c>
      <c r="C19" s="3">
        <v>4429</v>
      </c>
      <c r="D19" s="3">
        <v>325</v>
      </c>
      <c r="E19" s="3">
        <v>59</v>
      </c>
      <c r="F19" s="3">
        <v>82</v>
      </c>
      <c r="G19" s="3">
        <v>441</v>
      </c>
      <c r="H19" s="3">
        <v>148</v>
      </c>
      <c r="I19" s="3">
        <v>126</v>
      </c>
      <c r="J19" s="3">
        <v>3207</v>
      </c>
      <c r="K19" s="3">
        <v>379</v>
      </c>
      <c r="L19" s="3">
        <v>407</v>
      </c>
      <c r="M19" s="3">
        <v>232</v>
      </c>
      <c r="N19" s="3">
        <v>104</v>
      </c>
      <c r="O19" s="3">
        <v>58</v>
      </c>
      <c r="P19" s="3">
        <v>31</v>
      </c>
      <c r="Q19" s="3">
        <v>3</v>
      </c>
    </row>
    <row r="20" spans="2:17" ht="9">
      <c r="B20" s="9" t="s">
        <v>29</v>
      </c>
      <c r="C20" s="3">
        <v>4885</v>
      </c>
      <c r="D20" s="3">
        <v>436</v>
      </c>
      <c r="E20" s="3">
        <v>133</v>
      </c>
      <c r="F20" s="3">
        <v>101</v>
      </c>
      <c r="G20" s="3">
        <v>1087</v>
      </c>
      <c r="H20" s="3">
        <v>340</v>
      </c>
      <c r="I20" s="3">
        <v>263</v>
      </c>
      <c r="J20" s="3">
        <v>5200</v>
      </c>
      <c r="K20" s="3">
        <v>641</v>
      </c>
      <c r="L20" s="3">
        <v>899</v>
      </c>
      <c r="M20" s="3">
        <v>424</v>
      </c>
      <c r="N20" s="3">
        <v>106</v>
      </c>
      <c r="O20" s="3">
        <v>34</v>
      </c>
      <c r="P20" s="3">
        <v>21</v>
      </c>
      <c r="Q20" s="3">
        <v>7</v>
      </c>
    </row>
    <row r="21" spans="2:17" ht="9">
      <c r="B21" s="9" t="s">
        <v>30</v>
      </c>
      <c r="C21" s="3">
        <v>4644</v>
      </c>
      <c r="D21" s="3">
        <v>372</v>
      </c>
      <c r="E21" s="3">
        <v>83</v>
      </c>
      <c r="F21" s="3">
        <v>91</v>
      </c>
      <c r="G21" s="3">
        <v>536</v>
      </c>
      <c r="H21" s="3">
        <v>97</v>
      </c>
      <c r="I21" s="3">
        <v>196</v>
      </c>
      <c r="J21" s="3">
        <v>3600</v>
      </c>
      <c r="K21" s="3">
        <v>494</v>
      </c>
      <c r="L21" s="3">
        <v>447</v>
      </c>
      <c r="M21" s="3">
        <v>362</v>
      </c>
      <c r="N21" s="3">
        <v>179</v>
      </c>
      <c r="O21" s="3">
        <v>36</v>
      </c>
      <c r="P21" s="3">
        <v>26</v>
      </c>
      <c r="Q21" s="3">
        <v>5</v>
      </c>
    </row>
    <row r="22" spans="2:17" ht="9">
      <c r="B22" s="9" t="s">
        <v>31</v>
      </c>
      <c r="C22" s="3">
        <v>1051</v>
      </c>
      <c r="D22" s="3">
        <v>51</v>
      </c>
      <c r="E22" s="3">
        <v>13</v>
      </c>
      <c r="F22" s="3">
        <v>17</v>
      </c>
      <c r="G22" s="3">
        <v>148</v>
      </c>
      <c r="H22" s="3">
        <v>26</v>
      </c>
      <c r="I22" s="3">
        <v>17</v>
      </c>
      <c r="J22" s="3">
        <v>956</v>
      </c>
      <c r="K22" s="3">
        <v>90</v>
      </c>
      <c r="L22" s="3">
        <v>76</v>
      </c>
      <c r="M22" s="3">
        <v>35</v>
      </c>
      <c r="N22" s="3">
        <v>24</v>
      </c>
      <c r="O22" s="3">
        <v>10</v>
      </c>
      <c r="P22" s="3">
        <v>3</v>
      </c>
      <c r="Q22" s="3">
        <v>3</v>
      </c>
    </row>
    <row r="23" spans="1:17" ht="9">
      <c r="A23" s="4" t="s">
        <v>22</v>
      </c>
      <c r="C23" s="3">
        <v>33223</v>
      </c>
      <c r="D23" s="3">
        <v>2919</v>
      </c>
      <c r="E23" s="3">
        <v>682</v>
      </c>
      <c r="F23" s="3">
        <v>708</v>
      </c>
      <c r="G23" s="3">
        <v>6748</v>
      </c>
      <c r="H23" s="3">
        <v>1205</v>
      </c>
      <c r="I23" s="3">
        <v>1401</v>
      </c>
      <c r="J23" s="3">
        <v>28658</v>
      </c>
      <c r="K23" s="3">
        <v>3317</v>
      </c>
      <c r="L23" s="3">
        <v>4228</v>
      </c>
      <c r="M23" s="3">
        <v>2748</v>
      </c>
      <c r="N23" s="3">
        <v>881</v>
      </c>
      <c r="O23" s="3">
        <v>266</v>
      </c>
      <c r="P23" s="3">
        <v>182</v>
      </c>
      <c r="Q23" s="3">
        <v>49</v>
      </c>
    </row>
    <row r="24" spans="2:17" s="6" customFormat="1" ht="9">
      <c r="B24" s="10" t="s">
        <v>154</v>
      </c>
      <c r="C24" s="7">
        <f>C23/33223</f>
        <v>1</v>
      </c>
      <c r="D24" s="7">
        <f aca="true" t="shared" si="1" ref="D24:M24">D23/52616</f>
        <v>0.05547742131670975</v>
      </c>
      <c r="E24" s="7">
        <f t="shared" si="1"/>
        <v>0.012961836703664284</v>
      </c>
      <c r="F24" s="7">
        <f t="shared" si="1"/>
        <v>0.013455982970959403</v>
      </c>
      <c r="G24" s="7">
        <f t="shared" si="1"/>
        <v>0.12824996198874866</v>
      </c>
      <c r="H24" s="7">
        <f t="shared" si="1"/>
        <v>0.022901778926562262</v>
      </c>
      <c r="I24" s="7">
        <f t="shared" si="1"/>
        <v>0.026626881556940856</v>
      </c>
      <c r="J24" s="7">
        <f t="shared" si="1"/>
        <v>0.5446632203132127</v>
      </c>
      <c r="K24" s="7">
        <f t="shared" si="1"/>
        <v>0.06304166033145811</v>
      </c>
      <c r="L24" s="7">
        <f t="shared" si="1"/>
        <v>0.08035578531245248</v>
      </c>
      <c r="M24" s="7">
        <f t="shared" si="1"/>
        <v>0.05222745932796108</v>
      </c>
      <c r="N24" s="7">
        <f>N23/881</f>
        <v>1</v>
      </c>
      <c r="O24" s="7">
        <f>O23/448</f>
        <v>0.59375</v>
      </c>
      <c r="P24" s="7">
        <f>P23/448</f>
        <v>0.40625</v>
      </c>
      <c r="Q24" s="7">
        <f>Q23/49</f>
        <v>1</v>
      </c>
    </row>
    <row r="25" spans="2:17" ht="4.5" customHeight="1"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9">
      <c r="A26" s="5" t="s">
        <v>39</v>
      </c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9">
      <c r="B27" s="9" t="s">
        <v>23</v>
      </c>
      <c r="C27" s="3">
        <v>18109</v>
      </c>
      <c r="D27" s="3">
        <v>863</v>
      </c>
      <c r="E27" s="3">
        <v>275</v>
      </c>
      <c r="F27" s="3">
        <v>334</v>
      </c>
      <c r="G27" s="3">
        <v>3546</v>
      </c>
      <c r="H27" s="3">
        <v>343</v>
      </c>
      <c r="I27" s="3">
        <v>606</v>
      </c>
      <c r="J27" s="3">
        <v>10977</v>
      </c>
      <c r="K27" s="3">
        <v>1567</v>
      </c>
      <c r="L27" s="3">
        <v>1346</v>
      </c>
      <c r="M27" s="3">
        <v>1589</v>
      </c>
      <c r="N27" s="3">
        <v>383</v>
      </c>
      <c r="O27" s="3">
        <v>119</v>
      </c>
      <c r="P27" s="3">
        <v>124</v>
      </c>
      <c r="Q27" s="3">
        <v>44</v>
      </c>
    </row>
    <row r="28" spans="2:17" ht="9">
      <c r="B28" s="9" t="s">
        <v>33</v>
      </c>
      <c r="C28" s="3">
        <v>2055</v>
      </c>
      <c r="D28" s="3">
        <v>169</v>
      </c>
      <c r="E28" s="3">
        <v>42</v>
      </c>
      <c r="F28" s="3">
        <v>66</v>
      </c>
      <c r="G28" s="3">
        <v>242</v>
      </c>
      <c r="H28" s="3">
        <v>59</v>
      </c>
      <c r="I28" s="3">
        <v>92</v>
      </c>
      <c r="J28" s="3">
        <v>1754</v>
      </c>
      <c r="K28" s="3">
        <v>295</v>
      </c>
      <c r="L28" s="3">
        <v>172</v>
      </c>
      <c r="M28" s="3">
        <v>349</v>
      </c>
      <c r="N28" s="3">
        <v>66</v>
      </c>
      <c r="O28" s="3">
        <v>7</v>
      </c>
      <c r="P28" s="3">
        <v>17</v>
      </c>
      <c r="Q28" s="3">
        <v>3</v>
      </c>
    </row>
    <row r="29" spans="2:17" ht="9">
      <c r="B29" s="9" t="s">
        <v>34</v>
      </c>
      <c r="C29" s="3">
        <v>11688</v>
      </c>
      <c r="D29" s="3">
        <v>478</v>
      </c>
      <c r="E29" s="3">
        <v>208</v>
      </c>
      <c r="F29" s="3">
        <v>153</v>
      </c>
      <c r="G29" s="3">
        <v>1877</v>
      </c>
      <c r="H29" s="3">
        <v>756</v>
      </c>
      <c r="I29" s="3">
        <v>299</v>
      </c>
      <c r="J29" s="3">
        <v>8086</v>
      </c>
      <c r="K29" s="3">
        <v>1106</v>
      </c>
      <c r="L29" s="3">
        <v>1197</v>
      </c>
      <c r="M29" s="3">
        <v>943</v>
      </c>
      <c r="N29" s="3">
        <v>213</v>
      </c>
      <c r="O29" s="3">
        <v>88</v>
      </c>
      <c r="P29" s="3">
        <v>106</v>
      </c>
      <c r="Q29" s="3">
        <v>22</v>
      </c>
    </row>
    <row r="30" spans="2:17" ht="9">
      <c r="B30" s="9" t="s">
        <v>35</v>
      </c>
      <c r="C30" s="3">
        <v>3024</v>
      </c>
      <c r="D30" s="3">
        <v>142</v>
      </c>
      <c r="E30" s="3">
        <v>45</v>
      </c>
      <c r="F30" s="3">
        <v>59</v>
      </c>
      <c r="G30" s="3">
        <v>796</v>
      </c>
      <c r="H30" s="3">
        <v>86</v>
      </c>
      <c r="I30" s="3">
        <v>65</v>
      </c>
      <c r="J30" s="3">
        <v>2671</v>
      </c>
      <c r="K30" s="3">
        <v>324</v>
      </c>
      <c r="L30" s="3">
        <v>477</v>
      </c>
      <c r="M30" s="3">
        <v>299</v>
      </c>
      <c r="N30" s="3">
        <v>42</v>
      </c>
      <c r="O30" s="3">
        <v>29</v>
      </c>
      <c r="P30" s="3">
        <v>24</v>
      </c>
      <c r="Q30" s="3">
        <v>5</v>
      </c>
    </row>
    <row r="31" spans="2:17" ht="9">
      <c r="B31" s="9" t="s">
        <v>36</v>
      </c>
      <c r="C31" s="3">
        <v>2318</v>
      </c>
      <c r="D31" s="3">
        <v>141</v>
      </c>
      <c r="E31" s="3">
        <v>42</v>
      </c>
      <c r="F31" s="3">
        <v>42</v>
      </c>
      <c r="G31" s="3">
        <v>281</v>
      </c>
      <c r="H31" s="3">
        <v>62</v>
      </c>
      <c r="I31" s="3">
        <v>86</v>
      </c>
      <c r="J31" s="3">
        <v>1742</v>
      </c>
      <c r="K31" s="3">
        <v>250</v>
      </c>
      <c r="L31" s="3">
        <v>200</v>
      </c>
      <c r="M31" s="3">
        <v>241</v>
      </c>
      <c r="N31" s="3">
        <v>49</v>
      </c>
      <c r="O31" s="3">
        <v>13</v>
      </c>
      <c r="P31" s="3">
        <v>20</v>
      </c>
      <c r="Q31" s="3">
        <v>3</v>
      </c>
    </row>
    <row r="32" spans="2:17" ht="9">
      <c r="B32" s="9" t="s">
        <v>37</v>
      </c>
      <c r="C32" s="3">
        <v>397</v>
      </c>
      <c r="D32" s="3">
        <v>33</v>
      </c>
      <c r="E32" s="3">
        <v>9</v>
      </c>
      <c r="F32" s="3">
        <v>5</v>
      </c>
      <c r="G32" s="3">
        <v>47</v>
      </c>
      <c r="H32" s="3">
        <v>20</v>
      </c>
      <c r="I32" s="3">
        <v>13</v>
      </c>
      <c r="J32" s="3">
        <v>340</v>
      </c>
      <c r="K32" s="3">
        <v>46</v>
      </c>
      <c r="L32" s="3">
        <v>25</v>
      </c>
      <c r="M32" s="3">
        <v>49</v>
      </c>
      <c r="N32" s="3">
        <v>10</v>
      </c>
      <c r="O32" s="3">
        <v>7</v>
      </c>
      <c r="P32" s="3">
        <v>9</v>
      </c>
      <c r="Q32" s="3">
        <v>3</v>
      </c>
    </row>
    <row r="33" spans="2:17" ht="9">
      <c r="B33" s="9" t="s">
        <v>38</v>
      </c>
      <c r="C33" s="3">
        <v>3265</v>
      </c>
      <c r="D33" s="3">
        <v>236</v>
      </c>
      <c r="E33" s="3">
        <v>84</v>
      </c>
      <c r="F33" s="3">
        <v>70</v>
      </c>
      <c r="G33" s="3">
        <v>614</v>
      </c>
      <c r="H33" s="3">
        <v>127</v>
      </c>
      <c r="I33" s="3">
        <v>136</v>
      </c>
      <c r="J33" s="3">
        <v>2613</v>
      </c>
      <c r="K33" s="3">
        <v>350</v>
      </c>
      <c r="L33" s="3">
        <v>389</v>
      </c>
      <c r="M33" s="3">
        <v>466</v>
      </c>
      <c r="N33" s="3">
        <v>96</v>
      </c>
      <c r="O33" s="3">
        <v>26</v>
      </c>
      <c r="P33" s="3">
        <v>27</v>
      </c>
      <c r="Q33" s="3">
        <v>11</v>
      </c>
    </row>
    <row r="34" spans="1:17" ht="9">
      <c r="A34" s="4" t="s">
        <v>22</v>
      </c>
      <c r="C34" s="3">
        <v>40856</v>
      </c>
      <c r="D34" s="3">
        <v>2062</v>
      </c>
      <c r="E34" s="3">
        <v>705</v>
      </c>
      <c r="F34" s="3">
        <v>729</v>
      </c>
      <c r="G34" s="3">
        <v>7403</v>
      </c>
      <c r="H34" s="3">
        <v>1453</v>
      </c>
      <c r="I34" s="3">
        <v>1297</v>
      </c>
      <c r="J34" s="3">
        <v>28183</v>
      </c>
      <c r="K34" s="3">
        <v>3938</v>
      </c>
      <c r="L34" s="3">
        <v>3806</v>
      </c>
      <c r="M34" s="3">
        <v>3936</v>
      </c>
      <c r="N34" s="3">
        <v>859</v>
      </c>
      <c r="O34" s="3">
        <v>289</v>
      </c>
      <c r="P34" s="3">
        <v>327</v>
      </c>
      <c r="Q34" s="3">
        <v>91</v>
      </c>
    </row>
    <row r="35" spans="2:17" s="6" customFormat="1" ht="9">
      <c r="B35" s="10" t="s">
        <v>154</v>
      </c>
      <c r="C35" s="7">
        <f>C34/40856</f>
        <v>1</v>
      </c>
      <c r="D35" s="7">
        <f aca="true" t="shared" si="2" ref="D35:M35">D34/53513</f>
        <v>0.038532692990488296</v>
      </c>
      <c r="E35" s="7">
        <f t="shared" si="2"/>
        <v>0.013174368844953563</v>
      </c>
      <c r="F35" s="7">
        <f t="shared" si="2"/>
        <v>0.013622857997122194</v>
      </c>
      <c r="G35" s="7">
        <f t="shared" si="2"/>
        <v>0.13834021639601593</v>
      </c>
      <c r="H35" s="7">
        <f t="shared" si="2"/>
        <v>0.02715228075420926</v>
      </c>
      <c r="I35" s="7">
        <f t="shared" si="2"/>
        <v>0.02423710126511315</v>
      </c>
      <c r="J35" s="7">
        <f t="shared" si="2"/>
        <v>0.5266570739820231</v>
      </c>
      <c r="K35" s="7">
        <f t="shared" si="2"/>
        <v>0.07358959505166969</v>
      </c>
      <c r="L35" s="7">
        <f t="shared" si="2"/>
        <v>0.07112290471474221</v>
      </c>
      <c r="M35" s="7">
        <f t="shared" si="2"/>
        <v>0.07355222095565564</v>
      </c>
      <c r="N35" s="7">
        <f>N34/859</f>
        <v>1</v>
      </c>
      <c r="O35" s="7">
        <f>O34/616</f>
        <v>0.46915584415584416</v>
      </c>
      <c r="P35" s="7">
        <f>P34/616</f>
        <v>0.5308441558441559</v>
      </c>
      <c r="Q35" s="7">
        <f>Q34/91</f>
        <v>1</v>
      </c>
    </row>
    <row r="36" spans="2:17" ht="4.5" customHeight="1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9">
      <c r="A37" s="5" t="s">
        <v>43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9">
      <c r="B38" s="9" t="s">
        <v>40</v>
      </c>
      <c r="C38" s="3">
        <v>168</v>
      </c>
      <c r="D38" s="3">
        <v>8</v>
      </c>
      <c r="E38" s="3">
        <v>5</v>
      </c>
      <c r="F38" s="3">
        <v>2</v>
      </c>
      <c r="G38" s="3">
        <v>13</v>
      </c>
      <c r="H38" s="3">
        <v>4</v>
      </c>
      <c r="I38" s="3">
        <v>4</v>
      </c>
      <c r="J38" s="3">
        <v>118</v>
      </c>
      <c r="K38" s="3">
        <v>14</v>
      </c>
      <c r="L38" s="3">
        <v>10</v>
      </c>
      <c r="M38" s="3">
        <v>17</v>
      </c>
      <c r="N38" s="3">
        <v>4</v>
      </c>
      <c r="O38" s="3">
        <v>0</v>
      </c>
      <c r="P38" s="3">
        <v>0</v>
      </c>
      <c r="Q38" s="3">
        <v>1</v>
      </c>
    </row>
    <row r="39" spans="2:17" ht="9">
      <c r="B39" s="9" t="s">
        <v>41</v>
      </c>
      <c r="C39" s="3">
        <v>12542</v>
      </c>
      <c r="D39" s="3">
        <v>543</v>
      </c>
      <c r="E39" s="3">
        <v>286</v>
      </c>
      <c r="F39" s="3">
        <v>256</v>
      </c>
      <c r="G39" s="3">
        <v>2684</v>
      </c>
      <c r="H39" s="3">
        <v>266</v>
      </c>
      <c r="I39" s="3">
        <v>448</v>
      </c>
      <c r="J39" s="3">
        <v>10166</v>
      </c>
      <c r="K39" s="3">
        <v>1761</v>
      </c>
      <c r="L39" s="3">
        <v>1670</v>
      </c>
      <c r="M39" s="3">
        <v>893</v>
      </c>
      <c r="N39" s="3">
        <v>266</v>
      </c>
      <c r="O39" s="3">
        <v>117</v>
      </c>
      <c r="P39" s="3">
        <v>83</v>
      </c>
      <c r="Q39" s="3">
        <v>27</v>
      </c>
    </row>
    <row r="40" spans="2:17" ht="9">
      <c r="B40" s="9" t="s">
        <v>35</v>
      </c>
      <c r="C40" s="3">
        <v>23316</v>
      </c>
      <c r="D40" s="3">
        <v>907</v>
      </c>
      <c r="E40" s="3">
        <v>399</v>
      </c>
      <c r="F40" s="3">
        <v>397</v>
      </c>
      <c r="G40" s="3">
        <v>6018</v>
      </c>
      <c r="H40" s="3">
        <v>566</v>
      </c>
      <c r="I40" s="3">
        <v>680</v>
      </c>
      <c r="J40" s="3">
        <v>19102</v>
      </c>
      <c r="K40" s="3">
        <v>2996</v>
      </c>
      <c r="L40" s="3">
        <v>3681</v>
      </c>
      <c r="M40" s="3">
        <v>2092</v>
      </c>
      <c r="N40" s="3">
        <v>328</v>
      </c>
      <c r="O40" s="3">
        <v>104</v>
      </c>
      <c r="P40" s="3">
        <v>117</v>
      </c>
      <c r="Q40" s="3">
        <v>22</v>
      </c>
    </row>
    <row r="41" spans="2:17" ht="9">
      <c r="B41" s="9" t="s">
        <v>42</v>
      </c>
      <c r="C41" s="3">
        <v>5764</v>
      </c>
      <c r="D41" s="3">
        <v>169</v>
      </c>
      <c r="E41" s="3">
        <v>50</v>
      </c>
      <c r="F41" s="3">
        <v>98</v>
      </c>
      <c r="G41" s="3">
        <v>1087</v>
      </c>
      <c r="H41" s="3">
        <v>66</v>
      </c>
      <c r="I41" s="3">
        <v>134</v>
      </c>
      <c r="J41" s="3">
        <v>3170</v>
      </c>
      <c r="K41" s="3">
        <v>524</v>
      </c>
      <c r="L41" s="3">
        <v>641</v>
      </c>
      <c r="M41" s="3">
        <v>354</v>
      </c>
      <c r="N41" s="3">
        <v>111</v>
      </c>
      <c r="O41" s="3">
        <v>27</v>
      </c>
      <c r="P41" s="3">
        <v>37</v>
      </c>
      <c r="Q41" s="3">
        <v>16</v>
      </c>
    </row>
    <row r="42" spans="1:17" ht="9">
      <c r="A42" s="4" t="s">
        <v>22</v>
      </c>
      <c r="C42" s="3">
        <v>41790</v>
      </c>
      <c r="D42" s="3">
        <v>1627</v>
      </c>
      <c r="E42" s="3">
        <v>740</v>
      </c>
      <c r="F42" s="3">
        <v>753</v>
      </c>
      <c r="G42" s="3">
        <v>9802</v>
      </c>
      <c r="H42" s="3">
        <v>902</v>
      </c>
      <c r="I42" s="3">
        <v>1266</v>
      </c>
      <c r="J42" s="3">
        <v>32556</v>
      </c>
      <c r="K42" s="3">
        <v>5295</v>
      </c>
      <c r="L42" s="3">
        <v>6002</v>
      </c>
      <c r="M42" s="3">
        <v>3356</v>
      </c>
      <c r="N42" s="3">
        <v>709</v>
      </c>
      <c r="O42" s="3">
        <v>248</v>
      </c>
      <c r="P42" s="3">
        <v>237</v>
      </c>
      <c r="Q42" s="3">
        <v>66</v>
      </c>
    </row>
    <row r="43" spans="2:17" s="6" customFormat="1" ht="9">
      <c r="B43" s="10" t="s">
        <v>154</v>
      </c>
      <c r="C43" s="7">
        <f>C42/41790</f>
        <v>1</v>
      </c>
      <c r="D43" s="7">
        <f aca="true" t="shared" si="3" ref="D43:M43">D42/62299</f>
        <v>0.026115989020690542</v>
      </c>
      <c r="E43" s="7">
        <f t="shared" si="3"/>
        <v>0.011878200292139521</v>
      </c>
      <c r="F43" s="7">
        <f t="shared" si="3"/>
        <v>0.012086871378352782</v>
      </c>
      <c r="G43" s="7">
        <f t="shared" si="3"/>
        <v>0.15733799900479944</v>
      </c>
      <c r="H43" s="7">
        <f t="shared" si="3"/>
        <v>0.014478563058797092</v>
      </c>
      <c r="I43" s="7">
        <f t="shared" si="3"/>
        <v>0.020321353472768422</v>
      </c>
      <c r="J43" s="7">
        <f t="shared" si="3"/>
        <v>0.5225766063660733</v>
      </c>
      <c r="K43" s="7">
        <f t="shared" si="3"/>
        <v>0.0849933385768632</v>
      </c>
      <c r="L43" s="7">
        <f t="shared" si="3"/>
        <v>0.09634183534246135</v>
      </c>
      <c r="M43" s="7">
        <f t="shared" si="3"/>
        <v>0.053869243487054366</v>
      </c>
      <c r="N43" s="7">
        <f>N42/709</f>
        <v>1</v>
      </c>
      <c r="O43" s="7">
        <f>O42/485</f>
        <v>0.511340206185567</v>
      </c>
      <c r="P43" s="7">
        <f>P42/485</f>
        <v>0.488659793814433</v>
      </c>
      <c r="Q43" s="7">
        <f>Q42/66</f>
        <v>1</v>
      </c>
    </row>
    <row r="44" spans="2:17" ht="4.5" customHeight="1"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9">
      <c r="A45" s="5" t="s">
        <v>44</v>
      </c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9">
      <c r="B46" s="9" t="s">
        <v>35</v>
      </c>
      <c r="C46" s="3">
        <v>1734</v>
      </c>
      <c r="D46" s="3">
        <v>85</v>
      </c>
      <c r="E46" s="3">
        <v>45</v>
      </c>
      <c r="F46" s="3">
        <v>33</v>
      </c>
      <c r="G46" s="3">
        <v>796</v>
      </c>
      <c r="H46" s="3">
        <v>68</v>
      </c>
      <c r="I46" s="3">
        <v>47</v>
      </c>
      <c r="J46" s="3">
        <v>2392</v>
      </c>
      <c r="K46" s="3">
        <v>246</v>
      </c>
      <c r="L46" s="3">
        <v>430</v>
      </c>
      <c r="M46" s="3">
        <v>99</v>
      </c>
      <c r="N46" s="3">
        <v>20</v>
      </c>
      <c r="O46" s="3">
        <v>7</v>
      </c>
      <c r="P46" s="3">
        <v>9</v>
      </c>
      <c r="Q46" s="3">
        <v>1</v>
      </c>
    </row>
    <row r="47" spans="2:17" ht="9">
      <c r="B47" s="9" t="s">
        <v>42</v>
      </c>
      <c r="C47" s="3">
        <v>36194</v>
      </c>
      <c r="D47" s="3">
        <v>912</v>
      </c>
      <c r="E47" s="3">
        <v>463</v>
      </c>
      <c r="F47" s="3">
        <v>566</v>
      </c>
      <c r="G47" s="3">
        <v>8068</v>
      </c>
      <c r="H47" s="3">
        <v>588</v>
      </c>
      <c r="I47" s="3">
        <v>749</v>
      </c>
      <c r="J47" s="3">
        <v>24759</v>
      </c>
      <c r="K47" s="3">
        <v>3067</v>
      </c>
      <c r="L47" s="3">
        <v>4659</v>
      </c>
      <c r="M47" s="3">
        <v>1552</v>
      </c>
      <c r="N47" s="3">
        <v>459</v>
      </c>
      <c r="O47" s="3">
        <v>166</v>
      </c>
      <c r="P47" s="3">
        <v>191</v>
      </c>
      <c r="Q47" s="3">
        <v>68</v>
      </c>
    </row>
    <row r="48" spans="1:17" ht="9">
      <c r="A48" s="4" t="s">
        <v>22</v>
      </c>
      <c r="C48" s="3">
        <v>37928</v>
      </c>
      <c r="D48" s="3">
        <v>997</v>
      </c>
      <c r="E48" s="3">
        <v>508</v>
      </c>
      <c r="F48" s="3">
        <v>599</v>
      </c>
      <c r="G48" s="3">
        <v>8864</v>
      </c>
      <c r="H48" s="3">
        <v>656</v>
      </c>
      <c r="I48" s="3">
        <v>796</v>
      </c>
      <c r="J48" s="3">
        <v>27151</v>
      </c>
      <c r="K48" s="3">
        <v>3313</v>
      </c>
      <c r="L48" s="3">
        <v>5089</v>
      </c>
      <c r="M48" s="3">
        <v>1651</v>
      </c>
      <c r="N48" s="3">
        <v>479</v>
      </c>
      <c r="O48" s="3">
        <v>173</v>
      </c>
      <c r="P48" s="3">
        <v>200</v>
      </c>
      <c r="Q48" s="3">
        <v>69</v>
      </c>
    </row>
    <row r="49" spans="2:17" s="6" customFormat="1" ht="9">
      <c r="B49" s="10" t="s">
        <v>154</v>
      </c>
      <c r="C49" s="7">
        <f>C48/37928</f>
        <v>1</v>
      </c>
      <c r="D49" s="7">
        <f aca="true" t="shared" si="4" ref="D49:M49">D48/49624</f>
        <v>0.020091084958890858</v>
      </c>
      <c r="E49" s="7">
        <f t="shared" si="4"/>
        <v>0.010236982105432856</v>
      </c>
      <c r="F49" s="7">
        <f t="shared" si="4"/>
        <v>0.012070772206996615</v>
      </c>
      <c r="G49" s="7">
        <f t="shared" si="4"/>
        <v>0.17862324681605674</v>
      </c>
      <c r="H49" s="7">
        <f t="shared" si="4"/>
        <v>0.013219409962921168</v>
      </c>
      <c r="I49" s="7">
        <f t="shared" si="4"/>
        <v>0.01604062550378849</v>
      </c>
      <c r="J49" s="7">
        <f t="shared" si="4"/>
        <v>0.5471344510720619</v>
      </c>
      <c r="K49" s="7">
        <f t="shared" si="4"/>
        <v>0.06676205062066742</v>
      </c>
      <c r="L49" s="7">
        <f t="shared" si="4"/>
        <v>0.10255118491052717</v>
      </c>
      <c r="M49" s="7">
        <f t="shared" si="4"/>
        <v>0.03327019184265678</v>
      </c>
      <c r="N49" s="7">
        <f>N48/479</f>
        <v>1</v>
      </c>
      <c r="O49" s="7">
        <f>O48/373</f>
        <v>0.46380697050938335</v>
      </c>
      <c r="P49" s="7">
        <f>P48/373</f>
        <v>0.5361930294906166</v>
      </c>
      <c r="Q49" s="7">
        <f>Q48/69</f>
        <v>1</v>
      </c>
    </row>
    <row r="50" spans="2:17" ht="4.5" customHeight="1"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9">
      <c r="A51" s="5" t="s">
        <v>46</v>
      </c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9">
      <c r="B52" s="9" t="s">
        <v>45</v>
      </c>
      <c r="C52" s="3">
        <v>45638</v>
      </c>
      <c r="D52" s="3">
        <v>506</v>
      </c>
      <c r="E52" s="3">
        <v>232</v>
      </c>
      <c r="F52" s="3">
        <v>305</v>
      </c>
      <c r="G52" s="3">
        <v>2175</v>
      </c>
      <c r="H52" s="3">
        <v>486</v>
      </c>
      <c r="I52" s="3">
        <v>459</v>
      </c>
      <c r="J52" s="3">
        <v>9185</v>
      </c>
      <c r="K52" s="3">
        <v>1178</v>
      </c>
      <c r="L52" s="3">
        <v>2455</v>
      </c>
      <c r="M52" s="3">
        <v>649</v>
      </c>
      <c r="N52" s="3">
        <v>258</v>
      </c>
      <c r="O52" s="3">
        <v>140</v>
      </c>
      <c r="P52" s="3">
        <v>159</v>
      </c>
      <c r="Q52" s="3">
        <v>62</v>
      </c>
    </row>
    <row r="53" spans="2:17" ht="9">
      <c r="B53" s="9" t="s">
        <v>19</v>
      </c>
      <c r="C53" s="3">
        <v>27137</v>
      </c>
      <c r="D53" s="3">
        <v>497</v>
      </c>
      <c r="E53" s="3">
        <v>276</v>
      </c>
      <c r="F53" s="3">
        <v>353</v>
      </c>
      <c r="G53" s="3">
        <v>1442</v>
      </c>
      <c r="H53" s="3">
        <v>350</v>
      </c>
      <c r="I53" s="3">
        <v>487</v>
      </c>
      <c r="J53" s="3">
        <v>6192</v>
      </c>
      <c r="K53" s="3">
        <v>924</v>
      </c>
      <c r="L53" s="3">
        <v>2133</v>
      </c>
      <c r="M53" s="3">
        <v>844</v>
      </c>
      <c r="N53" s="3">
        <v>287</v>
      </c>
      <c r="O53" s="3">
        <v>114</v>
      </c>
      <c r="P53" s="3">
        <v>123</v>
      </c>
      <c r="Q53" s="3">
        <v>72</v>
      </c>
    </row>
    <row r="54" spans="1:17" ht="9">
      <c r="A54" s="4" t="s">
        <v>22</v>
      </c>
      <c r="C54" s="3">
        <v>72775</v>
      </c>
      <c r="D54" s="3">
        <v>1003</v>
      </c>
      <c r="E54" s="3">
        <v>508</v>
      </c>
      <c r="F54" s="3">
        <v>658</v>
      </c>
      <c r="G54" s="3">
        <v>3617</v>
      </c>
      <c r="H54" s="3">
        <v>836</v>
      </c>
      <c r="I54" s="3">
        <v>946</v>
      </c>
      <c r="J54" s="3">
        <v>15377</v>
      </c>
      <c r="K54" s="3">
        <v>2102</v>
      </c>
      <c r="L54" s="3">
        <v>4588</v>
      </c>
      <c r="M54" s="3">
        <v>1493</v>
      </c>
      <c r="N54" s="3">
        <v>545</v>
      </c>
      <c r="O54" s="3">
        <v>254</v>
      </c>
      <c r="P54" s="3">
        <v>282</v>
      </c>
      <c r="Q54" s="3">
        <v>134</v>
      </c>
    </row>
    <row r="55" spans="2:17" s="6" customFormat="1" ht="9">
      <c r="B55" s="10" t="s">
        <v>154</v>
      </c>
      <c r="C55" s="7">
        <f>C54/72775</f>
        <v>1</v>
      </c>
      <c r="D55" s="7">
        <f aca="true" t="shared" si="5" ref="D55:M55">D54/31128</f>
        <v>0.032221793883320485</v>
      </c>
      <c r="E55" s="7">
        <f t="shared" si="5"/>
        <v>0.01631971215625803</v>
      </c>
      <c r="F55" s="7">
        <f t="shared" si="5"/>
        <v>0.02113852480082241</v>
      </c>
      <c r="G55" s="7">
        <f t="shared" si="5"/>
        <v>0.1161976355692624</v>
      </c>
      <c r="H55" s="7">
        <f t="shared" si="5"/>
        <v>0.026856849139038807</v>
      </c>
      <c r="I55" s="7">
        <f t="shared" si="5"/>
        <v>0.03039064507838602</v>
      </c>
      <c r="J55" s="7">
        <f t="shared" si="5"/>
        <v>0.49399254690310973</v>
      </c>
      <c r="K55" s="7">
        <f t="shared" si="5"/>
        <v>0.06752762785916216</v>
      </c>
      <c r="L55" s="7">
        <f t="shared" si="5"/>
        <v>0.14739141608840914</v>
      </c>
      <c r="M55" s="7">
        <f t="shared" si="5"/>
        <v>0.047963248522230786</v>
      </c>
      <c r="N55" s="7">
        <f>N54/545</f>
        <v>1</v>
      </c>
      <c r="O55" s="7">
        <f>O54/536</f>
        <v>0.47388059701492535</v>
      </c>
      <c r="P55" s="7">
        <f>P54/536</f>
        <v>0.5261194029850746</v>
      </c>
      <c r="Q55" s="7">
        <f>Q54/134</f>
        <v>1</v>
      </c>
    </row>
    <row r="56" spans="2:17" ht="4.5" customHeight="1"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9">
      <c r="A57" s="5" t="s">
        <v>49</v>
      </c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9">
      <c r="B58" s="9" t="s">
        <v>47</v>
      </c>
      <c r="C58" s="3">
        <v>16053</v>
      </c>
      <c r="D58" s="3">
        <v>426</v>
      </c>
      <c r="E58" s="3">
        <v>191</v>
      </c>
      <c r="F58" s="3">
        <v>175</v>
      </c>
      <c r="G58" s="3">
        <v>1058</v>
      </c>
      <c r="H58" s="3">
        <v>318</v>
      </c>
      <c r="I58" s="3">
        <v>632</v>
      </c>
      <c r="J58" s="3">
        <v>5430</v>
      </c>
      <c r="K58" s="3">
        <v>764</v>
      </c>
      <c r="L58" s="3">
        <v>1546</v>
      </c>
      <c r="M58" s="3">
        <v>397</v>
      </c>
      <c r="N58" s="3">
        <v>212</v>
      </c>
      <c r="O58" s="3">
        <v>57</v>
      </c>
      <c r="P58" s="3">
        <v>87</v>
      </c>
      <c r="Q58" s="3">
        <v>15</v>
      </c>
    </row>
    <row r="59" spans="2:17" ht="9">
      <c r="B59" s="9" t="s">
        <v>48</v>
      </c>
      <c r="C59" s="3">
        <v>13338</v>
      </c>
      <c r="D59" s="3">
        <v>156</v>
      </c>
      <c r="E59" s="3">
        <v>82</v>
      </c>
      <c r="F59" s="3">
        <v>64</v>
      </c>
      <c r="G59" s="3">
        <v>658</v>
      </c>
      <c r="H59" s="3">
        <v>154</v>
      </c>
      <c r="I59" s="3">
        <v>360</v>
      </c>
      <c r="J59" s="3">
        <v>2171</v>
      </c>
      <c r="K59" s="3">
        <v>321</v>
      </c>
      <c r="L59" s="3">
        <v>822</v>
      </c>
      <c r="M59" s="3">
        <v>221</v>
      </c>
      <c r="N59" s="3">
        <v>108</v>
      </c>
      <c r="O59" s="3">
        <v>24</v>
      </c>
      <c r="P59" s="3">
        <v>43</v>
      </c>
      <c r="Q59" s="3">
        <v>17</v>
      </c>
    </row>
    <row r="60" spans="2:17" ht="9">
      <c r="B60" s="9" t="s">
        <v>19</v>
      </c>
      <c r="C60" s="3">
        <v>26613</v>
      </c>
      <c r="D60" s="3">
        <v>470</v>
      </c>
      <c r="E60" s="3">
        <v>248</v>
      </c>
      <c r="F60" s="3">
        <v>297</v>
      </c>
      <c r="G60" s="3">
        <v>1689</v>
      </c>
      <c r="H60" s="3">
        <v>380</v>
      </c>
      <c r="I60" s="3">
        <v>710</v>
      </c>
      <c r="J60" s="3">
        <v>7148</v>
      </c>
      <c r="K60" s="3">
        <v>824</v>
      </c>
      <c r="L60" s="3">
        <v>1742</v>
      </c>
      <c r="M60" s="3">
        <v>892</v>
      </c>
      <c r="N60" s="3">
        <v>303</v>
      </c>
      <c r="O60" s="3">
        <v>113</v>
      </c>
      <c r="P60" s="3">
        <v>152</v>
      </c>
      <c r="Q60" s="3">
        <v>64</v>
      </c>
    </row>
    <row r="61" spans="1:17" ht="9">
      <c r="A61" s="4" t="s">
        <v>22</v>
      </c>
      <c r="C61" s="3">
        <v>56004</v>
      </c>
      <c r="D61" s="3">
        <v>1052</v>
      </c>
      <c r="E61" s="3">
        <v>521</v>
      </c>
      <c r="F61" s="3">
        <v>536</v>
      </c>
      <c r="G61" s="3">
        <v>3405</v>
      </c>
      <c r="H61" s="3">
        <v>852</v>
      </c>
      <c r="I61" s="3">
        <v>1702</v>
      </c>
      <c r="J61" s="3">
        <v>14749</v>
      </c>
      <c r="K61" s="3">
        <v>1909</v>
      </c>
      <c r="L61" s="3">
        <v>4110</v>
      </c>
      <c r="M61" s="3">
        <v>1510</v>
      </c>
      <c r="N61" s="3">
        <v>623</v>
      </c>
      <c r="O61" s="3">
        <v>194</v>
      </c>
      <c r="P61" s="3">
        <v>282</v>
      </c>
      <c r="Q61" s="3">
        <v>96</v>
      </c>
    </row>
    <row r="62" spans="2:17" s="6" customFormat="1" ht="9">
      <c r="B62" s="10" t="s">
        <v>154</v>
      </c>
      <c r="C62" s="7">
        <f>C61/56004</f>
        <v>1</v>
      </c>
      <c r="D62" s="7">
        <f aca="true" t="shared" si="6" ref="D62:M62">D61/30346</f>
        <v>0.034666842417452055</v>
      </c>
      <c r="E62" s="7">
        <f t="shared" si="6"/>
        <v>0.01716865484742635</v>
      </c>
      <c r="F62" s="7">
        <f t="shared" si="6"/>
        <v>0.01766295393132538</v>
      </c>
      <c r="G62" s="7">
        <f t="shared" si="6"/>
        <v>0.11220589204508008</v>
      </c>
      <c r="H62" s="7">
        <f t="shared" si="6"/>
        <v>0.02807618796546497</v>
      </c>
      <c r="I62" s="7">
        <f t="shared" si="6"/>
        <v>0.05608646938641007</v>
      </c>
      <c r="J62" s="7">
        <f t="shared" si="6"/>
        <v>0.4860278125617874</v>
      </c>
      <c r="K62" s="7">
        <f t="shared" si="6"/>
        <v>0.0629077967442167</v>
      </c>
      <c r="L62" s="7">
        <f t="shared" si="6"/>
        <v>0.13543794898833453</v>
      </c>
      <c r="M62" s="7">
        <f t="shared" si="6"/>
        <v>0.049759441112502474</v>
      </c>
      <c r="N62" s="7">
        <f>N61/623</f>
        <v>1</v>
      </c>
      <c r="O62" s="7">
        <f>O61/476</f>
        <v>0.40756302521008403</v>
      </c>
      <c r="P62" s="7">
        <f>P61/476</f>
        <v>0.592436974789916</v>
      </c>
      <c r="Q62" s="7">
        <f>Q61/96</f>
        <v>1</v>
      </c>
    </row>
    <row r="63" spans="2:17" ht="4.5" customHeight="1"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9">
      <c r="A64" s="5" t="s">
        <v>50</v>
      </c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9">
      <c r="B65" s="9" t="s">
        <v>48</v>
      </c>
      <c r="C65" s="3">
        <v>22835</v>
      </c>
      <c r="D65" s="3">
        <v>568</v>
      </c>
      <c r="E65" s="3">
        <v>294</v>
      </c>
      <c r="F65" s="3">
        <v>206</v>
      </c>
      <c r="G65" s="3">
        <v>3367</v>
      </c>
      <c r="H65" s="3">
        <v>445</v>
      </c>
      <c r="I65" s="3">
        <v>509</v>
      </c>
      <c r="J65" s="3">
        <v>8777</v>
      </c>
      <c r="K65" s="3">
        <v>999</v>
      </c>
      <c r="L65" s="3">
        <v>2196</v>
      </c>
      <c r="M65" s="3">
        <v>759</v>
      </c>
      <c r="N65" s="3">
        <v>309</v>
      </c>
      <c r="O65" s="3">
        <v>104</v>
      </c>
      <c r="P65" s="3">
        <v>87</v>
      </c>
      <c r="Q65" s="3">
        <v>22</v>
      </c>
    </row>
    <row r="66" spans="2:17" ht="9">
      <c r="B66" s="9" t="s">
        <v>31</v>
      </c>
      <c r="C66" s="3">
        <v>20326</v>
      </c>
      <c r="D66" s="3">
        <v>347</v>
      </c>
      <c r="E66" s="3">
        <v>157</v>
      </c>
      <c r="F66" s="3">
        <v>130</v>
      </c>
      <c r="G66" s="3">
        <v>1945</v>
      </c>
      <c r="H66" s="3">
        <v>187</v>
      </c>
      <c r="I66" s="3">
        <v>284</v>
      </c>
      <c r="J66" s="3">
        <v>6740</v>
      </c>
      <c r="K66" s="3">
        <v>664</v>
      </c>
      <c r="L66" s="3">
        <v>856</v>
      </c>
      <c r="M66" s="3">
        <v>376</v>
      </c>
      <c r="N66" s="3">
        <v>211</v>
      </c>
      <c r="O66" s="3">
        <v>46</v>
      </c>
      <c r="P66" s="3">
        <v>63</v>
      </c>
      <c r="Q66" s="3">
        <v>42</v>
      </c>
    </row>
    <row r="67" spans="1:17" ht="9">
      <c r="A67" s="4" t="s">
        <v>22</v>
      </c>
      <c r="C67" s="3">
        <v>43161</v>
      </c>
      <c r="D67" s="3">
        <v>915</v>
      </c>
      <c r="E67" s="3">
        <v>451</v>
      </c>
      <c r="F67" s="3">
        <v>336</v>
      </c>
      <c r="G67" s="3">
        <v>5312</v>
      </c>
      <c r="H67" s="3">
        <v>632</v>
      </c>
      <c r="I67" s="3">
        <v>793</v>
      </c>
      <c r="J67" s="3">
        <v>15517</v>
      </c>
      <c r="K67" s="3">
        <v>1663</v>
      </c>
      <c r="L67" s="3">
        <v>3052</v>
      </c>
      <c r="M67" s="3">
        <v>1135</v>
      </c>
      <c r="N67" s="3">
        <v>520</v>
      </c>
      <c r="O67" s="3">
        <v>150</v>
      </c>
      <c r="P67" s="3">
        <v>150</v>
      </c>
      <c r="Q67" s="3">
        <v>64</v>
      </c>
    </row>
    <row r="68" spans="2:17" s="6" customFormat="1" ht="9">
      <c r="B68" s="10" t="s">
        <v>154</v>
      </c>
      <c r="C68" s="7">
        <f>C67/43161</f>
        <v>1</v>
      </c>
      <c r="D68" s="7">
        <f aca="true" t="shared" si="7" ref="D68:M68">D67/29806</f>
        <v>0.030698517077098572</v>
      </c>
      <c r="E68" s="7">
        <f t="shared" si="7"/>
        <v>0.01513118164128028</v>
      </c>
      <c r="F68" s="7">
        <f t="shared" si="7"/>
        <v>0.011272898074213245</v>
      </c>
      <c r="G68" s="7">
        <f t="shared" si="7"/>
        <v>0.17821915050660941</v>
      </c>
      <c r="H68" s="7">
        <f t="shared" si="7"/>
        <v>0.021203784472924914</v>
      </c>
      <c r="I68" s="7">
        <f t="shared" si="7"/>
        <v>0.02660538146681876</v>
      </c>
      <c r="J68" s="7">
        <f t="shared" si="7"/>
        <v>0.5205998792189492</v>
      </c>
      <c r="K68" s="7">
        <f t="shared" si="7"/>
        <v>0.05579413540897806</v>
      </c>
      <c r="L68" s="7">
        <f t="shared" si="7"/>
        <v>0.10239549084077032</v>
      </c>
      <c r="M68" s="7">
        <f t="shared" si="7"/>
        <v>0.038079581292357244</v>
      </c>
      <c r="N68" s="7">
        <f>N67/520</f>
        <v>1</v>
      </c>
      <c r="O68" s="7">
        <f>O67/300</f>
        <v>0.5</v>
      </c>
      <c r="P68" s="7">
        <f>P67/300</f>
        <v>0.5</v>
      </c>
      <c r="Q68" s="7">
        <f>Q67/64</f>
        <v>1</v>
      </c>
    </row>
    <row r="69" spans="2:17" ht="4.5" customHeight="1"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9">
      <c r="A70" s="5" t="s">
        <v>51</v>
      </c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9">
      <c r="B71" s="9" t="s">
        <v>42</v>
      </c>
      <c r="C71" s="3">
        <v>43463</v>
      </c>
      <c r="D71" s="3">
        <v>444</v>
      </c>
      <c r="E71" s="3">
        <v>210</v>
      </c>
      <c r="F71" s="3">
        <v>195</v>
      </c>
      <c r="G71" s="3">
        <v>2757</v>
      </c>
      <c r="H71" s="3">
        <v>232</v>
      </c>
      <c r="I71" s="3">
        <v>252</v>
      </c>
      <c r="J71" s="3">
        <v>10849</v>
      </c>
      <c r="K71" s="3">
        <v>1044</v>
      </c>
      <c r="L71" s="3">
        <v>1419</v>
      </c>
      <c r="M71" s="3">
        <v>612</v>
      </c>
      <c r="N71" s="3">
        <v>288</v>
      </c>
      <c r="O71" s="3">
        <v>98</v>
      </c>
      <c r="P71" s="3">
        <v>143</v>
      </c>
      <c r="Q71" s="3">
        <v>165</v>
      </c>
    </row>
    <row r="72" spans="1:17" ht="9">
      <c r="A72" s="4" t="s">
        <v>22</v>
      </c>
      <c r="C72" s="3">
        <v>43463</v>
      </c>
      <c r="D72" s="3">
        <v>444</v>
      </c>
      <c r="E72" s="3">
        <v>210</v>
      </c>
      <c r="F72" s="3">
        <v>195</v>
      </c>
      <c r="G72" s="3">
        <v>2757</v>
      </c>
      <c r="H72" s="3">
        <v>232</v>
      </c>
      <c r="I72" s="3">
        <v>252</v>
      </c>
      <c r="J72" s="3">
        <v>10849</v>
      </c>
      <c r="K72" s="3">
        <v>1044</v>
      </c>
      <c r="L72" s="3">
        <v>1419</v>
      </c>
      <c r="M72" s="3">
        <v>612</v>
      </c>
      <c r="N72" s="3">
        <v>288</v>
      </c>
      <c r="O72" s="3">
        <v>98</v>
      </c>
      <c r="P72" s="3">
        <v>143</v>
      </c>
      <c r="Q72" s="3">
        <v>165</v>
      </c>
    </row>
    <row r="73" spans="2:17" s="6" customFormat="1" ht="9">
      <c r="B73" s="10" t="s">
        <v>154</v>
      </c>
      <c r="C73" s="7">
        <f>C72/43463</f>
        <v>1</v>
      </c>
      <c r="D73" s="7">
        <f aca="true" t="shared" si="8" ref="D73:M73">D72/18014</f>
        <v>0.024647496391695348</v>
      </c>
      <c r="E73" s="7">
        <f t="shared" si="8"/>
        <v>0.011657599644720773</v>
      </c>
      <c r="F73" s="7">
        <f t="shared" si="8"/>
        <v>0.010824913955812147</v>
      </c>
      <c r="G73" s="7">
        <f t="shared" si="8"/>
        <v>0.15304762962140558</v>
      </c>
      <c r="H73" s="7">
        <f t="shared" si="8"/>
        <v>0.012878871988453425</v>
      </c>
      <c r="I73" s="7">
        <f t="shared" si="8"/>
        <v>0.013989119573664928</v>
      </c>
      <c r="J73" s="7">
        <f t="shared" si="8"/>
        <v>0.6022538025979793</v>
      </c>
      <c r="K73" s="7">
        <f t="shared" si="8"/>
        <v>0.057954923948040415</v>
      </c>
      <c r="L73" s="7">
        <f t="shared" si="8"/>
        <v>0.07877206617075608</v>
      </c>
      <c r="M73" s="7">
        <f t="shared" si="8"/>
        <v>0.03397357610747197</v>
      </c>
      <c r="N73" s="7">
        <f>N72/288</f>
        <v>1</v>
      </c>
      <c r="O73" s="7">
        <f>O72/241</f>
        <v>0.4066390041493776</v>
      </c>
      <c r="P73" s="7">
        <f>P72/241</f>
        <v>0.5933609958506224</v>
      </c>
      <c r="Q73" s="7">
        <f>Q72/165</f>
        <v>1</v>
      </c>
    </row>
    <row r="74" spans="2:17" ht="4.5" customHeight="1"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9">
      <c r="A75" s="5" t="s">
        <v>54</v>
      </c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9">
      <c r="B76" s="9" t="s">
        <v>52</v>
      </c>
      <c r="C76" s="3">
        <v>4015</v>
      </c>
      <c r="D76" s="3">
        <v>181</v>
      </c>
      <c r="E76" s="3">
        <v>122</v>
      </c>
      <c r="F76" s="3">
        <v>64</v>
      </c>
      <c r="G76" s="3">
        <v>814</v>
      </c>
      <c r="H76" s="3">
        <v>129</v>
      </c>
      <c r="I76" s="3">
        <v>85</v>
      </c>
      <c r="J76" s="3">
        <v>3078</v>
      </c>
      <c r="K76" s="3">
        <v>324</v>
      </c>
      <c r="L76" s="3">
        <v>453</v>
      </c>
      <c r="M76" s="3">
        <v>223</v>
      </c>
      <c r="N76" s="3">
        <v>53</v>
      </c>
      <c r="O76" s="3">
        <v>27</v>
      </c>
      <c r="P76" s="3">
        <v>32</v>
      </c>
      <c r="Q76" s="3">
        <v>6</v>
      </c>
    </row>
    <row r="77" spans="2:17" ht="9">
      <c r="B77" s="9" t="s">
        <v>41</v>
      </c>
      <c r="C77" s="3">
        <v>2335</v>
      </c>
      <c r="D77" s="3">
        <v>155</v>
      </c>
      <c r="E77" s="3">
        <v>114</v>
      </c>
      <c r="F77" s="3">
        <v>45</v>
      </c>
      <c r="G77" s="3">
        <v>878</v>
      </c>
      <c r="H77" s="3">
        <v>122</v>
      </c>
      <c r="I77" s="3">
        <v>92</v>
      </c>
      <c r="J77" s="3">
        <v>2635</v>
      </c>
      <c r="K77" s="3">
        <v>334</v>
      </c>
      <c r="L77" s="3">
        <v>459</v>
      </c>
      <c r="M77" s="3">
        <v>195</v>
      </c>
      <c r="N77" s="3">
        <v>39</v>
      </c>
      <c r="O77" s="3">
        <v>11</v>
      </c>
      <c r="P77" s="3">
        <v>8</v>
      </c>
      <c r="Q77" s="3">
        <v>1</v>
      </c>
    </row>
    <row r="78" spans="2:17" ht="9">
      <c r="B78" s="9" t="s">
        <v>42</v>
      </c>
      <c r="C78" s="3">
        <v>22524</v>
      </c>
      <c r="D78" s="3">
        <v>597</v>
      </c>
      <c r="E78" s="3">
        <v>456</v>
      </c>
      <c r="F78" s="3">
        <v>263</v>
      </c>
      <c r="G78" s="3">
        <v>4031</v>
      </c>
      <c r="H78" s="3">
        <v>369</v>
      </c>
      <c r="I78" s="3">
        <v>446</v>
      </c>
      <c r="J78" s="3">
        <v>13190</v>
      </c>
      <c r="K78" s="3">
        <v>1560</v>
      </c>
      <c r="L78" s="3">
        <v>2036</v>
      </c>
      <c r="M78" s="3">
        <v>935</v>
      </c>
      <c r="N78" s="3">
        <v>251</v>
      </c>
      <c r="O78" s="3">
        <v>89</v>
      </c>
      <c r="P78" s="3">
        <v>93</v>
      </c>
      <c r="Q78" s="3">
        <v>36</v>
      </c>
    </row>
    <row r="79" spans="2:17" ht="9">
      <c r="B79" s="9" t="s">
        <v>53</v>
      </c>
      <c r="C79" s="3">
        <v>8260</v>
      </c>
      <c r="D79" s="3">
        <v>446</v>
      </c>
      <c r="E79" s="3">
        <v>337</v>
      </c>
      <c r="F79" s="3">
        <v>193</v>
      </c>
      <c r="G79" s="3">
        <v>1416</v>
      </c>
      <c r="H79" s="3">
        <v>420</v>
      </c>
      <c r="I79" s="3">
        <v>342</v>
      </c>
      <c r="J79" s="3">
        <v>6920</v>
      </c>
      <c r="K79" s="3">
        <v>762</v>
      </c>
      <c r="L79" s="3">
        <v>1096</v>
      </c>
      <c r="M79" s="3">
        <v>489</v>
      </c>
      <c r="N79" s="3">
        <v>98</v>
      </c>
      <c r="O79" s="3">
        <v>34</v>
      </c>
      <c r="P79" s="3">
        <v>31</v>
      </c>
      <c r="Q79" s="3">
        <v>7</v>
      </c>
    </row>
    <row r="80" spans="1:17" ht="9">
      <c r="A80" s="4" t="s">
        <v>22</v>
      </c>
      <c r="C80" s="3">
        <v>37134</v>
      </c>
      <c r="D80" s="3">
        <v>1379</v>
      </c>
      <c r="E80" s="3">
        <v>1029</v>
      </c>
      <c r="F80" s="3">
        <v>565</v>
      </c>
      <c r="G80" s="3">
        <v>7139</v>
      </c>
      <c r="H80" s="3">
        <v>1040</v>
      </c>
      <c r="I80" s="3">
        <v>965</v>
      </c>
      <c r="J80" s="3">
        <v>25823</v>
      </c>
      <c r="K80" s="3">
        <v>2980</v>
      </c>
      <c r="L80" s="3">
        <v>4044</v>
      </c>
      <c r="M80" s="3">
        <v>1842</v>
      </c>
      <c r="N80" s="3">
        <v>441</v>
      </c>
      <c r="O80" s="3">
        <v>161</v>
      </c>
      <c r="P80" s="3">
        <v>164</v>
      </c>
      <c r="Q80" s="3">
        <v>50</v>
      </c>
    </row>
    <row r="81" spans="2:17" s="6" customFormat="1" ht="9">
      <c r="B81" s="10" t="s">
        <v>154</v>
      </c>
      <c r="C81" s="7">
        <f>C80/37134</f>
        <v>1</v>
      </c>
      <c r="D81" s="7">
        <f aca="true" t="shared" si="9" ref="D81:M81">D80/46806</f>
        <v>0.029462034781865574</v>
      </c>
      <c r="E81" s="7">
        <f t="shared" si="9"/>
        <v>0.02198436097936162</v>
      </c>
      <c r="F81" s="7">
        <f t="shared" si="9"/>
        <v>0.012071101995470667</v>
      </c>
      <c r="G81" s="7">
        <f t="shared" si="9"/>
        <v>0.15252318078878777</v>
      </c>
      <c r="H81" s="7">
        <f t="shared" si="9"/>
        <v>0.022219373584583174</v>
      </c>
      <c r="I81" s="7">
        <f t="shared" si="9"/>
        <v>0.02061701491261804</v>
      </c>
      <c r="J81" s="7">
        <f t="shared" si="9"/>
        <v>0.5517027731487416</v>
      </c>
      <c r="K81" s="7">
        <f t="shared" si="9"/>
        <v>0.06366705123274793</v>
      </c>
      <c r="L81" s="7">
        <f t="shared" si="9"/>
        <v>0.08639917959235996</v>
      </c>
      <c r="M81" s="7">
        <f t="shared" si="9"/>
        <v>0.03935392898346366</v>
      </c>
      <c r="N81" s="7">
        <f>N80/441</f>
        <v>1</v>
      </c>
      <c r="O81" s="7">
        <f>O80/325</f>
        <v>0.49538461538461537</v>
      </c>
      <c r="P81" s="7">
        <f>P80/325</f>
        <v>0.5046153846153846</v>
      </c>
      <c r="Q81" s="7">
        <f>Q80/50</f>
        <v>1</v>
      </c>
    </row>
    <row r="82" spans="2:17" ht="4.5" customHeight="1"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9">
      <c r="A83" s="5" t="s">
        <v>56</v>
      </c>
      <c r="B83" s="1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9">
      <c r="B84" s="9" t="s">
        <v>55</v>
      </c>
      <c r="C84" s="3">
        <v>48259</v>
      </c>
      <c r="D84" s="3">
        <v>954</v>
      </c>
      <c r="E84" s="3">
        <v>417</v>
      </c>
      <c r="F84" s="3">
        <v>429</v>
      </c>
      <c r="G84" s="3">
        <v>2707</v>
      </c>
      <c r="H84" s="3">
        <v>921</v>
      </c>
      <c r="I84" s="3">
        <v>675</v>
      </c>
      <c r="J84" s="3">
        <v>10006</v>
      </c>
      <c r="K84" s="3">
        <v>1917</v>
      </c>
      <c r="L84" s="3">
        <v>3808</v>
      </c>
      <c r="M84" s="3">
        <v>1724</v>
      </c>
      <c r="N84" s="3">
        <v>500</v>
      </c>
      <c r="O84" s="3">
        <v>162</v>
      </c>
      <c r="P84" s="3">
        <v>198</v>
      </c>
      <c r="Q84" s="3">
        <v>77</v>
      </c>
    </row>
    <row r="85" spans="1:17" ht="9">
      <c r="A85" s="4" t="s">
        <v>22</v>
      </c>
      <c r="C85" s="3">
        <v>48259</v>
      </c>
      <c r="D85" s="3">
        <v>954</v>
      </c>
      <c r="E85" s="3">
        <v>417</v>
      </c>
      <c r="F85" s="3">
        <v>429</v>
      </c>
      <c r="G85" s="3">
        <v>2707</v>
      </c>
      <c r="H85" s="3">
        <v>921</v>
      </c>
      <c r="I85" s="3">
        <v>675</v>
      </c>
      <c r="J85" s="3">
        <v>10006</v>
      </c>
      <c r="K85" s="3">
        <v>1917</v>
      </c>
      <c r="L85" s="3">
        <v>3808</v>
      </c>
      <c r="M85" s="3">
        <v>1724</v>
      </c>
      <c r="N85" s="3">
        <v>500</v>
      </c>
      <c r="O85" s="3">
        <v>162</v>
      </c>
      <c r="P85" s="3">
        <v>198</v>
      </c>
      <c r="Q85" s="3">
        <v>77</v>
      </c>
    </row>
    <row r="86" spans="2:17" s="6" customFormat="1" ht="9">
      <c r="B86" s="10" t="s">
        <v>154</v>
      </c>
      <c r="C86" s="7">
        <f>C85/48259</f>
        <v>1</v>
      </c>
      <c r="D86" s="7">
        <f aca="true" t="shared" si="10" ref="D86:M86">D85/23558</f>
        <v>0.04049579760590882</v>
      </c>
      <c r="E86" s="7">
        <f t="shared" si="10"/>
        <v>0.017700993293148823</v>
      </c>
      <c r="F86" s="7">
        <f t="shared" si="10"/>
        <v>0.018210374395109943</v>
      </c>
      <c r="G86" s="7">
        <f t="shared" si="10"/>
        <v>0.11490788691739537</v>
      </c>
      <c r="H86" s="7">
        <f t="shared" si="10"/>
        <v>0.03909499957551575</v>
      </c>
      <c r="I86" s="7">
        <f t="shared" si="10"/>
        <v>0.028652686985312845</v>
      </c>
      <c r="J86" s="7">
        <f t="shared" si="10"/>
        <v>0.42473894218524494</v>
      </c>
      <c r="K86" s="7">
        <f t="shared" si="10"/>
        <v>0.08137363103828849</v>
      </c>
      <c r="L86" s="7">
        <f t="shared" si="10"/>
        <v>0.16164360302232786</v>
      </c>
      <c r="M86" s="7">
        <f t="shared" si="10"/>
        <v>0.07318108498174718</v>
      </c>
      <c r="N86" s="7">
        <f>N85/500</f>
        <v>1</v>
      </c>
      <c r="O86" s="7">
        <f>O85/360</f>
        <v>0.45</v>
      </c>
      <c r="P86" s="7">
        <f>P85/360</f>
        <v>0.55</v>
      </c>
      <c r="Q86" s="7">
        <f>Q85/77</f>
        <v>1</v>
      </c>
    </row>
    <row r="87" spans="2:17" ht="4.5" customHeight="1"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9">
      <c r="A88" s="5" t="s">
        <v>59</v>
      </c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9">
      <c r="B89" s="9" t="s">
        <v>57</v>
      </c>
      <c r="C89" s="3">
        <v>48076</v>
      </c>
      <c r="D89" s="3">
        <v>502</v>
      </c>
      <c r="E89" s="3">
        <v>132</v>
      </c>
      <c r="F89" s="3">
        <v>157</v>
      </c>
      <c r="G89" s="3">
        <v>1264</v>
      </c>
      <c r="H89" s="3">
        <v>159</v>
      </c>
      <c r="I89" s="3">
        <v>272</v>
      </c>
      <c r="J89" s="3">
        <v>4535</v>
      </c>
      <c r="K89" s="3">
        <v>662</v>
      </c>
      <c r="L89" s="3">
        <v>1528</v>
      </c>
      <c r="M89" s="3">
        <v>827</v>
      </c>
      <c r="N89" s="3">
        <v>460</v>
      </c>
      <c r="O89" s="3">
        <v>105</v>
      </c>
      <c r="P89" s="3">
        <v>138</v>
      </c>
      <c r="Q89" s="3">
        <v>121</v>
      </c>
    </row>
    <row r="90" spans="2:17" ht="9">
      <c r="B90" s="9" t="s">
        <v>58</v>
      </c>
      <c r="C90" s="3">
        <v>5187</v>
      </c>
      <c r="D90" s="3">
        <v>79</v>
      </c>
      <c r="E90" s="3">
        <v>22</v>
      </c>
      <c r="F90" s="3">
        <v>14</v>
      </c>
      <c r="G90" s="3">
        <v>166</v>
      </c>
      <c r="H90" s="3">
        <v>21</v>
      </c>
      <c r="I90" s="3">
        <v>50</v>
      </c>
      <c r="J90" s="3">
        <v>566</v>
      </c>
      <c r="K90" s="3">
        <v>76</v>
      </c>
      <c r="L90" s="3">
        <v>174</v>
      </c>
      <c r="M90" s="3">
        <v>93</v>
      </c>
      <c r="N90" s="3">
        <v>26</v>
      </c>
      <c r="O90" s="3">
        <v>6</v>
      </c>
      <c r="P90" s="3">
        <v>10</v>
      </c>
      <c r="Q90" s="3">
        <v>8</v>
      </c>
    </row>
    <row r="91" spans="1:17" ht="9">
      <c r="A91" s="4" t="s">
        <v>22</v>
      </c>
      <c r="C91" s="3">
        <v>53263</v>
      </c>
      <c r="D91" s="3">
        <v>581</v>
      </c>
      <c r="E91" s="3">
        <v>154</v>
      </c>
      <c r="F91" s="3">
        <v>171</v>
      </c>
      <c r="G91" s="3">
        <v>1430</v>
      </c>
      <c r="H91" s="3">
        <v>180</v>
      </c>
      <c r="I91" s="3">
        <v>322</v>
      </c>
      <c r="J91" s="3">
        <v>5101</v>
      </c>
      <c r="K91" s="3">
        <v>738</v>
      </c>
      <c r="L91" s="3">
        <v>1702</v>
      </c>
      <c r="M91" s="3">
        <v>920</v>
      </c>
      <c r="N91" s="3">
        <v>486</v>
      </c>
      <c r="O91" s="3">
        <v>111</v>
      </c>
      <c r="P91" s="3">
        <v>148</v>
      </c>
      <c r="Q91" s="3">
        <v>129</v>
      </c>
    </row>
    <row r="92" spans="2:17" s="6" customFormat="1" ht="9">
      <c r="B92" s="10" t="s">
        <v>154</v>
      </c>
      <c r="C92" s="7">
        <f>C91/53263</f>
        <v>1</v>
      </c>
      <c r="D92" s="7">
        <f aca="true" t="shared" si="11" ref="D92:M92">D91/11299</f>
        <v>0.051420479688468</v>
      </c>
      <c r="E92" s="7">
        <f t="shared" si="11"/>
        <v>0.013629524736702363</v>
      </c>
      <c r="F92" s="7">
        <f t="shared" si="11"/>
        <v>0.015134082662182495</v>
      </c>
      <c r="G92" s="7">
        <f t="shared" si="11"/>
        <v>0.12655987255509338</v>
      </c>
      <c r="H92" s="7">
        <f t="shared" si="11"/>
        <v>0.01593061332861315</v>
      </c>
      <c r="I92" s="7">
        <f t="shared" si="11"/>
        <v>0.028498097176741306</v>
      </c>
      <c r="J92" s="7">
        <f t="shared" si="11"/>
        <v>0.4514558810514205</v>
      </c>
      <c r="K92" s="7">
        <f t="shared" si="11"/>
        <v>0.06531551464731392</v>
      </c>
      <c r="L92" s="7">
        <f t="shared" si="11"/>
        <v>0.15063279936277546</v>
      </c>
      <c r="M92" s="7">
        <f t="shared" si="11"/>
        <v>0.08142313479068944</v>
      </c>
      <c r="N92" s="7">
        <f>N91/486</f>
        <v>1</v>
      </c>
      <c r="O92" s="7">
        <f>O91/259</f>
        <v>0.42857142857142855</v>
      </c>
      <c r="P92" s="7">
        <f>P91/259</f>
        <v>0.5714285714285714</v>
      </c>
      <c r="Q92" s="7">
        <f>Q91/129</f>
        <v>1</v>
      </c>
    </row>
    <row r="93" spans="2:17" ht="4.5" customHeight="1"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9">
      <c r="A94" s="5" t="s">
        <v>60</v>
      </c>
      <c r="B94" s="1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9">
      <c r="B95" s="9" t="s">
        <v>57</v>
      </c>
      <c r="C95" s="3">
        <v>71268</v>
      </c>
      <c r="D95" s="3">
        <v>249</v>
      </c>
      <c r="E95" s="3">
        <v>109</v>
      </c>
      <c r="F95" s="3">
        <v>165</v>
      </c>
      <c r="G95" s="3">
        <v>1207</v>
      </c>
      <c r="H95" s="3">
        <v>165</v>
      </c>
      <c r="I95" s="3">
        <v>206</v>
      </c>
      <c r="J95" s="3">
        <v>4066</v>
      </c>
      <c r="K95" s="3">
        <v>802</v>
      </c>
      <c r="L95" s="3">
        <v>1029</v>
      </c>
      <c r="M95" s="3">
        <v>945</v>
      </c>
      <c r="N95" s="3">
        <v>557</v>
      </c>
      <c r="O95" s="3">
        <v>183</v>
      </c>
      <c r="P95" s="3">
        <v>268</v>
      </c>
      <c r="Q95" s="3">
        <v>228</v>
      </c>
    </row>
    <row r="96" spans="1:17" ht="9">
      <c r="A96" s="4" t="s">
        <v>22</v>
      </c>
      <c r="C96" s="3">
        <v>71268</v>
      </c>
      <c r="D96" s="3">
        <v>249</v>
      </c>
      <c r="E96" s="3">
        <v>109</v>
      </c>
      <c r="F96" s="3">
        <v>165</v>
      </c>
      <c r="G96" s="3">
        <v>1207</v>
      </c>
      <c r="H96" s="3">
        <v>165</v>
      </c>
      <c r="I96" s="3">
        <v>206</v>
      </c>
      <c r="J96" s="3">
        <v>4066</v>
      </c>
      <c r="K96" s="3">
        <v>802</v>
      </c>
      <c r="L96" s="3">
        <v>1029</v>
      </c>
      <c r="M96" s="3">
        <v>945</v>
      </c>
      <c r="N96" s="3">
        <v>557</v>
      </c>
      <c r="O96" s="3">
        <v>183</v>
      </c>
      <c r="P96" s="3">
        <v>268</v>
      </c>
      <c r="Q96" s="3">
        <v>228</v>
      </c>
    </row>
    <row r="97" spans="2:17" s="6" customFormat="1" ht="9">
      <c r="B97" s="10" t="s">
        <v>154</v>
      </c>
      <c r="C97" s="7">
        <f>C96/71268</f>
        <v>1</v>
      </c>
      <c r="D97" s="7">
        <f aca="true" t="shared" si="12" ref="D97:M97">D96/8943</f>
        <v>0.0278430057027843</v>
      </c>
      <c r="E97" s="7">
        <f t="shared" si="12"/>
        <v>0.01218830370121883</v>
      </c>
      <c r="F97" s="7">
        <f t="shared" si="12"/>
        <v>0.01845018450184502</v>
      </c>
      <c r="G97" s="7">
        <f t="shared" si="12"/>
        <v>0.13496589511349658</v>
      </c>
      <c r="H97" s="7">
        <f t="shared" si="12"/>
        <v>0.01845018450184502</v>
      </c>
      <c r="I97" s="7">
        <f t="shared" si="12"/>
        <v>0.023034775802303478</v>
      </c>
      <c r="J97" s="7">
        <f t="shared" si="12"/>
        <v>0.4546572738454657</v>
      </c>
      <c r="K97" s="7">
        <f t="shared" si="12"/>
        <v>0.08967907860896791</v>
      </c>
      <c r="L97" s="7">
        <f t="shared" si="12"/>
        <v>0.11506205971150621</v>
      </c>
      <c r="M97" s="7">
        <f t="shared" si="12"/>
        <v>0.10566923851056692</v>
      </c>
      <c r="N97" s="7">
        <f>N96/557</f>
        <v>1</v>
      </c>
      <c r="O97" s="7">
        <f>O96/451</f>
        <v>0.4057649667405765</v>
      </c>
      <c r="P97" s="7">
        <f>P96/451</f>
        <v>0.5942350332594235</v>
      </c>
      <c r="Q97" s="7">
        <f>Q96/228</f>
        <v>1</v>
      </c>
    </row>
    <row r="98" spans="2:17" ht="4.5" customHeight="1">
      <c r="B98" s="1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9">
      <c r="A99" s="5" t="s">
        <v>62</v>
      </c>
      <c r="B99" s="1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9">
      <c r="B100" s="9" t="s">
        <v>61</v>
      </c>
      <c r="C100" s="3">
        <v>40953</v>
      </c>
      <c r="D100" s="3">
        <v>88</v>
      </c>
      <c r="E100" s="3">
        <v>51</v>
      </c>
      <c r="F100" s="3">
        <v>70</v>
      </c>
      <c r="G100" s="3">
        <v>465</v>
      </c>
      <c r="H100" s="3">
        <v>59</v>
      </c>
      <c r="I100" s="3">
        <v>110</v>
      </c>
      <c r="J100" s="3">
        <v>1617</v>
      </c>
      <c r="K100" s="3">
        <v>296</v>
      </c>
      <c r="L100" s="3">
        <v>519</v>
      </c>
      <c r="M100" s="3">
        <v>187</v>
      </c>
      <c r="N100" s="3">
        <v>87</v>
      </c>
      <c r="O100" s="3">
        <v>67</v>
      </c>
      <c r="P100" s="3">
        <v>98</v>
      </c>
      <c r="Q100" s="3">
        <v>131</v>
      </c>
    </row>
    <row r="101" spans="2:17" ht="9">
      <c r="B101" s="9" t="s">
        <v>55</v>
      </c>
      <c r="C101" s="3">
        <v>39348</v>
      </c>
      <c r="D101" s="3">
        <v>385</v>
      </c>
      <c r="E101" s="3">
        <v>188</v>
      </c>
      <c r="F101" s="3">
        <v>243</v>
      </c>
      <c r="G101" s="3">
        <v>1964</v>
      </c>
      <c r="H101" s="3">
        <v>306</v>
      </c>
      <c r="I101" s="3">
        <v>390</v>
      </c>
      <c r="J101" s="3">
        <v>7589</v>
      </c>
      <c r="K101" s="3">
        <v>1384</v>
      </c>
      <c r="L101" s="3">
        <v>2565</v>
      </c>
      <c r="M101" s="3">
        <v>766</v>
      </c>
      <c r="N101" s="3">
        <v>196</v>
      </c>
      <c r="O101" s="3">
        <v>83</v>
      </c>
      <c r="P101" s="3">
        <v>141</v>
      </c>
      <c r="Q101" s="3">
        <v>69</v>
      </c>
    </row>
    <row r="102" spans="1:17" ht="9">
      <c r="A102" s="4" t="s">
        <v>22</v>
      </c>
      <c r="C102" s="3">
        <v>80301</v>
      </c>
      <c r="D102" s="3">
        <v>473</v>
      </c>
      <c r="E102" s="3">
        <v>239</v>
      </c>
      <c r="F102" s="3">
        <v>313</v>
      </c>
      <c r="G102" s="3">
        <v>2429</v>
      </c>
      <c r="H102" s="3">
        <v>365</v>
      </c>
      <c r="I102" s="3">
        <v>500</v>
      </c>
      <c r="J102" s="3">
        <v>9206</v>
      </c>
      <c r="K102" s="3">
        <v>1680</v>
      </c>
      <c r="L102" s="3">
        <v>3084</v>
      </c>
      <c r="M102" s="3">
        <v>953</v>
      </c>
      <c r="N102" s="3">
        <v>283</v>
      </c>
      <c r="O102" s="3">
        <v>150</v>
      </c>
      <c r="P102" s="3">
        <v>239</v>
      </c>
      <c r="Q102" s="3">
        <v>200</v>
      </c>
    </row>
    <row r="103" spans="2:17" s="6" customFormat="1" ht="9">
      <c r="B103" s="10" t="s">
        <v>154</v>
      </c>
      <c r="C103" s="7">
        <f>C102/80301</f>
        <v>1</v>
      </c>
      <c r="D103" s="7">
        <f aca="true" t="shared" si="13" ref="D103:M103">D102/19242</f>
        <v>0.024581644319717284</v>
      </c>
      <c r="E103" s="7">
        <f t="shared" si="13"/>
        <v>0.012420746284170045</v>
      </c>
      <c r="F103" s="7">
        <f t="shared" si="13"/>
        <v>0.01626650036378755</v>
      </c>
      <c r="G103" s="7">
        <f t="shared" si="13"/>
        <v>0.1262342791809583</v>
      </c>
      <c r="H103" s="7">
        <f t="shared" si="13"/>
        <v>0.018968922149464714</v>
      </c>
      <c r="I103" s="7">
        <f t="shared" si="13"/>
        <v>0.025984824862280428</v>
      </c>
      <c r="J103" s="7">
        <f t="shared" si="13"/>
        <v>0.47843259536430727</v>
      </c>
      <c r="K103" s="7">
        <f t="shared" si="13"/>
        <v>0.08730901153726224</v>
      </c>
      <c r="L103" s="7">
        <f t="shared" si="13"/>
        <v>0.1602743997505457</v>
      </c>
      <c r="M103" s="7">
        <f t="shared" si="13"/>
        <v>0.0495270761875065</v>
      </c>
      <c r="N103" s="7">
        <f>N102/283</f>
        <v>1</v>
      </c>
      <c r="O103" s="7">
        <f>O102/389</f>
        <v>0.3856041131105398</v>
      </c>
      <c r="P103" s="7">
        <f>P102/389</f>
        <v>0.6143958868894601</v>
      </c>
      <c r="Q103" s="7">
        <f>Q102/200</f>
        <v>1</v>
      </c>
    </row>
    <row r="104" spans="2:17" ht="4.5" customHeight="1"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9">
      <c r="A105" s="5" t="s">
        <v>63</v>
      </c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9">
      <c r="B106" s="9" t="s">
        <v>61</v>
      </c>
      <c r="C106" s="3">
        <v>7765</v>
      </c>
      <c r="D106" s="3">
        <v>239</v>
      </c>
      <c r="E106" s="3">
        <v>125</v>
      </c>
      <c r="F106" s="3">
        <v>163</v>
      </c>
      <c r="G106" s="3">
        <v>658</v>
      </c>
      <c r="H106" s="3">
        <v>159</v>
      </c>
      <c r="I106" s="3">
        <v>342</v>
      </c>
      <c r="J106" s="3">
        <v>3125</v>
      </c>
      <c r="K106" s="3">
        <v>650</v>
      </c>
      <c r="L106" s="3">
        <v>1690</v>
      </c>
      <c r="M106" s="3">
        <v>325</v>
      </c>
      <c r="N106" s="3">
        <v>82</v>
      </c>
      <c r="O106" s="3">
        <v>32</v>
      </c>
      <c r="P106" s="3">
        <v>45</v>
      </c>
      <c r="Q106" s="3">
        <v>5</v>
      </c>
    </row>
    <row r="107" spans="2:17" ht="9">
      <c r="B107" s="9" t="s">
        <v>55</v>
      </c>
      <c r="C107" s="3">
        <v>31392</v>
      </c>
      <c r="D107" s="3">
        <v>805</v>
      </c>
      <c r="E107" s="3">
        <v>466</v>
      </c>
      <c r="F107" s="3">
        <v>579</v>
      </c>
      <c r="G107" s="3">
        <v>3161</v>
      </c>
      <c r="H107" s="3">
        <v>601</v>
      </c>
      <c r="I107" s="3">
        <v>915</v>
      </c>
      <c r="J107" s="3">
        <v>15905</v>
      </c>
      <c r="K107" s="3">
        <v>2328</v>
      </c>
      <c r="L107" s="3">
        <v>5888</v>
      </c>
      <c r="M107" s="3">
        <v>1183</v>
      </c>
      <c r="N107" s="3">
        <v>308</v>
      </c>
      <c r="O107" s="3">
        <v>100</v>
      </c>
      <c r="P107" s="3">
        <v>156</v>
      </c>
      <c r="Q107" s="3">
        <v>25</v>
      </c>
    </row>
    <row r="108" spans="2:17" ht="9">
      <c r="B108" s="9" t="s">
        <v>42</v>
      </c>
      <c r="C108" s="3">
        <v>6614</v>
      </c>
      <c r="D108" s="3">
        <v>202</v>
      </c>
      <c r="E108" s="3">
        <v>97</v>
      </c>
      <c r="F108" s="3">
        <v>117</v>
      </c>
      <c r="G108" s="3">
        <v>1412</v>
      </c>
      <c r="H108" s="3">
        <v>150</v>
      </c>
      <c r="I108" s="3">
        <v>157</v>
      </c>
      <c r="J108" s="3">
        <v>5241</v>
      </c>
      <c r="K108" s="3">
        <v>575</v>
      </c>
      <c r="L108" s="3">
        <v>965</v>
      </c>
      <c r="M108" s="3">
        <v>280</v>
      </c>
      <c r="N108" s="3">
        <v>97</v>
      </c>
      <c r="O108" s="3">
        <v>23</v>
      </c>
      <c r="P108" s="3">
        <v>24</v>
      </c>
      <c r="Q108" s="3">
        <v>8</v>
      </c>
    </row>
    <row r="109" spans="2:17" ht="9">
      <c r="B109" s="9" t="s">
        <v>53</v>
      </c>
      <c r="C109" s="3">
        <v>1239</v>
      </c>
      <c r="D109" s="3">
        <v>24</v>
      </c>
      <c r="E109" s="3">
        <v>14</v>
      </c>
      <c r="F109" s="3">
        <v>24</v>
      </c>
      <c r="G109" s="3">
        <v>113</v>
      </c>
      <c r="H109" s="3">
        <v>11</v>
      </c>
      <c r="I109" s="3">
        <v>40</v>
      </c>
      <c r="J109" s="3">
        <v>491</v>
      </c>
      <c r="K109" s="3">
        <v>56</v>
      </c>
      <c r="L109" s="3">
        <v>158</v>
      </c>
      <c r="M109" s="3">
        <v>37</v>
      </c>
      <c r="N109" s="3">
        <v>16</v>
      </c>
      <c r="O109" s="3">
        <v>1</v>
      </c>
      <c r="P109" s="3">
        <v>3</v>
      </c>
      <c r="Q109" s="3">
        <v>3</v>
      </c>
    </row>
    <row r="110" spans="1:17" ht="9">
      <c r="A110" s="4" t="s">
        <v>22</v>
      </c>
      <c r="C110" s="3">
        <v>47010</v>
      </c>
      <c r="D110" s="3">
        <v>1270</v>
      </c>
      <c r="E110" s="3">
        <v>702</v>
      </c>
      <c r="F110" s="3">
        <v>883</v>
      </c>
      <c r="G110" s="3">
        <v>5344</v>
      </c>
      <c r="H110" s="3">
        <v>921</v>
      </c>
      <c r="I110" s="3">
        <v>1454</v>
      </c>
      <c r="J110" s="3">
        <v>24762</v>
      </c>
      <c r="K110" s="3">
        <v>3609</v>
      </c>
      <c r="L110" s="3">
        <v>8701</v>
      </c>
      <c r="M110" s="3">
        <v>1825</v>
      </c>
      <c r="N110" s="3">
        <v>503</v>
      </c>
      <c r="O110" s="3">
        <v>156</v>
      </c>
      <c r="P110" s="3">
        <v>228</v>
      </c>
      <c r="Q110" s="3">
        <v>41</v>
      </c>
    </row>
    <row r="111" spans="2:17" s="6" customFormat="1" ht="9">
      <c r="B111" s="10" t="s">
        <v>154</v>
      </c>
      <c r="C111" s="7">
        <f>C110/47010</f>
        <v>1</v>
      </c>
      <c r="D111" s="7">
        <f aca="true" t="shared" si="14" ref="D111:M111">D110/49471</f>
        <v>0.02567160558711164</v>
      </c>
      <c r="E111" s="7">
        <f t="shared" si="14"/>
        <v>0.014190131592245962</v>
      </c>
      <c r="F111" s="7">
        <f t="shared" si="14"/>
        <v>0.017848840734976047</v>
      </c>
      <c r="G111" s="7">
        <f t="shared" si="14"/>
        <v>0.10802288209253906</v>
      </c>
      <c r="H111" s="7">
        <f t="shared" si="14"/>
        <v>0.018616967516322695</v>
      </c>
      <c r="I111" s="7">
        <f t="shared" si="14"/>
        <v>0.029390956317842776</v>
      </c>
      <c r="J111" s="7">
        <f t="shared" si="14"/>
        <v>0.500535667360676</v>
      </c>
      <c r="K111" s="7">
        <f t="shared" si="14"/>
        <v>0.0729518303652645</v>
      </c>
      <c r="L111" s="7">
        <f t="shared" si="14"/>
        <v>0.17588081906571526</v>
      </c>
      <c r="M111" s="7">
        <f t="shared" si="14"/>
        <v>0.0368902993673061</v>
      </c>
      <c r="N111" s="7">
        <f>N110/503</f>
        <v>1</v>
      </c>
      <c r="O111" s="7">
        <f>O110/384</f>
        <v>0.40625</v>
      </c>
      <c r="P111" s="7">
        <f>P110/384</f>
        <v>0.59375</v>
      </c>
      <c r="Q111" s="7">
        <f>Q110/41</f>
        <v>1</v>
      </c>
    </row>
    <row r="112" spans="2:17" ht="4.5" customHeight="1">
      <c r="B112" s="1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9">
      <c r="A113" s="5" t="s">
        <v>64</v>
      </c>
      <c r="B113" s="1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9">
      <c r="B114" s="9" t="s">
        <v>61</v>
      </c>
      <c r="C114" s="3">
        <v>59256</v>
      </c>
      <c r="D114" s="3">
        <v>244</v>
      </c>
      <c r="E114" s="3">
        <v>171</v>
      </c>
      <c r="F114" s="3">
        <v>270</v>
      </c>
      <c r="G114" s="3">
        <v>1112</v>
      </c>
      <c r="H114" s="3">
        <v>274</v>
      </c>
      <c r="I114" s="3">
        <v>398</v>
      </c>
      <c r="J114" s="3">
        <v>4111</v>
      </c>
      <c r="K114" s="3">
        <v>629</v>
      </c>
      <c r="L114" s="3">
        <v>1327</v>
      </c>
      <c r="M114" s="3">
        <v>478</v>
      </c>
      <c r="N114" s="3">
        <v>204</v>
      </c>
      <c r="O114" s="3">
        <v>92</v>
      </c>
      <c r="P114" s="3">
        <v>156</v>
      </c>
      <c r="Q114" s="3">
        <v>135</v>
      </c>
    </row>
    <row r="115" spans="1:17" ht="9">
      <c r="A115" s="4" t="s">
        <v>22</v>
      </c>
      <c r="C115" s="3">
        <v>59256</v>
      </c>
      <c r="D115" s="3">
        <v>244</v>
      </c>
      <c r="E115" s="3">
        <v>171</v>
      </c>
      <c r="F115" s="3">
        <v>270</v>
      </c>
      <c r="G115" s="3">
        <v>1112</v>
      </c>
      <c r="H115" s="3">
        <v>274</v>
      </c>
      <c r="I115" s="3">
        <v>398</v>
      </c>
      <c r="J115" s="3">
        <v>4111</v>
      </c>
      <c r="K115" s="3">
        <v>629</v>
      </c>
      <c r="L115" s="3">
        <v>1327</v>
      </c>
      <c r="M115" s="3">
        <v>478</v>
      </c>
      <c r="N115" s="3">
        <v>204</v>
      </c>
      <c r="O115" s="3">
        <v>92</v>
      </c>
      <c r="P115" s="3">
        <v>156</v>
      </c>
      <c r="Q115" s="3">
        <v>135</v>
      </c>
    </row>
    <row r="116" spans="2:17" s="6" customFormat="1" ht="9">
      <c r="B116" s="10" t="s">
        <v>154</v>
      </c>
      <c r="C116" s="7">
        <f>C115/59256</f>
        <v>1</v>
      </c>
      <c r="D116" s="7">
        <f aca="true" t="shared" si="15" ref="D116:M116">D115/9014</f>
        <v>0.027069003771910363</v>
      </c>
      <c r="E116" s="7">
        <f t="shared" si="15"/>
        <v>0.018970490348347017</v>
      </c>
      <c r="F116" s="7">
        <f t="shared" si="15"/>
        <v>0.0299534058131795</v>
      </c>
      <c r="G116" s="7">
        <f t="shared" si="15"/>
        <v>0.12336365653428001</v>
      </c>
      <c r="H116" s="7">
        <f t="shared" si="15"/>
        <v>0.03039715997337475</v>
      </c>
      <c r="I116" s="7">
        <f t="shared" si="15"/>
        <v>0.044153538939427556</v>
      </c>
      <c r="J116" s="7">
        <f t="shared" si="15"/>
        <v>0.45606833814067005</v>
      </c>
      <c r="K116" s="7">
        <f t="shared" si="15"/>
        <v>0.06978034169070335</v>
      </c>
      <c r="L116" s="7">
        <f t="shared" si="15"/>
        <v>0.1472154426447748</v>
      </c>
      <c r="M116" s="7">
        <f t="shared" si="15"/>
        <v>0.05302862214333259</v>
      </c>
      <c r="N116" s="7">
        <f>N115/204</f>
        <v>1</v>
      </c>
      <c r="O116" s="7">
        <f>O115/248</f>
        <v>0.3709677419354839</v>
      </c>
      <c r="P116" s="7">
        <f>P115/248</f>
        <v>0.6290322580645161</v>
      </c>
      <c r="Q116" s="7">
        <f>Q115/135</f>
        <v>1</v>
      </c>
    </row>
    <row r="117" spans="2:17" ht="4.5" customHeight="1">
      <c r="B117" s="1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9">
      <c r="A118" s="5" t="s">
        <v>67</v>
      </c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9">
      <c r="B119" s="9" t="s">
        <v>65</v>
      </c>
      <c r="C119" s="3">
        <v>12175</v>
      </c>
      <c r="D119" s="3">
        <v>281</v>
      </c>
      <c r="E119" s="3">
        <v>111</v>
      </c>
      <c r="F119" s="3">
        <v>147</v>
      </c>
      <c r="G119" s="3">
        <v>939</v>
      </c>
      <c r="H119" s="3">
        <v>198</v>
      </c>
      <c r="I119" s="3">
        <v>534</v>
      </c>
      <c r="J119" s="3">
        <v>8742</v>
      </c>
      <c r="K119" s="3">
        <v>460</v>
      </c>
      <c r="L119" s="3">
        <v>530</v>
      </c>
      <c r="M119" s="3">
        <v>283</v>
      </c>
      <c r="N119" s="3">
        <v>144</v>
      </c>
      <c r="O119" s="3">
        <v>19</v>
      </c>
      <c r="P119" s="3">
        <v>19</v>
      </c>
      <c r="Q119" s="3">
        <v>2</v>
      </c>
    </row>
    <row r="120" spans="2:17" ht="9">
      <c r="B120" s="9" t="s">
        <v>53</v>
      </c>
      <c r="C120" s="3">
        <v>13541</v>
      </c>
      <c r="D120" s="3">
        <v>285</v>
      </c>
      <c r="E120" s="3">
        <v>160</v>
      </c>
      <c r="F120" s="3">
        <v>178</v>
      </c>
      <c r="G120" s="3">
        <v>972</v>
      </c>
      <c r="H120" s="3">
        <v>221</v>
      </c>
      <c r="I120" s="3">
        <v>577</v>
      </c>
      <c r="J120" s="3">
        <v>3429</v>
      </c>
      <c r="K120" s="3">
        <v>481</v>
      </c>
      <c r="L120" s="3">
        <v>940</v>
      </c>
      <c r="M120" s="3">
        <v>312</v>
      </c>
      <c r="N120" s="3">
        <v>116</v>
      </c>
      <c r="O120" s="3">
        <v>38</v>
      </c>
      <c r="P120" s="3">
        <v>42</v>
      </c>
      <c r="Q120" s="3">
        <v>20</v>
      </c>
    </row>
    <row r="121" spans="2:17" ht="9">
      <c r="B121" s="9" t="s">
        <v>66</v>
      </c>
      <c r="C121" s="3">
        <v>688</v>
      </c>
      <c r="D121" s="3">
        <v>15</v>
      </c>
      <c r="E121" s="3">
        <v>7</v>
      </c>
      <c r="F121" s="3">
        <v>4</v>
      </c>
      <c r="G121" s="3">
        <v>63</v>
      </c>
      <c r="H121" s="3">
        <v>8</v>
      </c>
      <c r="I121" s="3">
        <v>31</v>
      </c>
      <c r="J121" s="3">
        <v>383</v>
      </c>
      <c r="K121" s="3">
        <v>21</v>
      </c>
      <c r="L121" s="3">
        <v>52</v>
      </c>
      <c r="M121" s="3">
        <v>15</v>
      </c>
      <c r="N121" s="3">
        <v>16</v>
      </c>
      <c r="O121" s="3">
        <v>0</v>
      </c>
      <c r="P121" s="3">
        <v>2</v>
      </c>
      <c r="Q121" s="3">
        <v>1</v>
      </c>
    </row>
    <row r="122" spans="1:17" ht="9">
      <c r="A122" s="4" t="s">
        <v>22</v>
      </c>
      <c r="C122" s="3">
        <v>26404</v>
      </c>
      <c r="D122" s="3">
        <v>581</v>
      </c>
      <c r="E122" s="3">
        <v>278</v>
      </c>
      <c r="F122" s="3">
        <v>329</v>
      </c>
      <c r="G122" s="3">
        <v>1974</v>
      </c>
      <c r="H122" s="3">
        <v>427</v>
      </c>
      <c r="I122" s="3">
        <v>1142</v>
      </c>
      <c r="J122" s="3">
        <v>12554</v>
      </c>
      <c r="K122" s="3">
        <v>962</v>
      </c>
      <c r="L122" s="3">
        <v>1522</v>
      </c>
      <c r="M122" s="3">
        <v>610</v>
      </c>
      <c r="N122" s="3">
        <v>276</v>
      </c>
      <c r="O122" s="3">
        <v>57</v>
      </c>
      <c r="P122" s="3">
        <v>63</v>
      </c>
      <c r="Q122" s="3">
        <v>23</v>
      </c>
    </row>
    <row r="123" spans="2:17" s="6" customFormat="1" ht="9">
      <c r="B123" s="10" t="s">
        <v>154</v>
      </c>
      <c r="C123" s="7">
        <f>C122/26404</f>
        <v>1</v>
      </c>
      <c r="D123" s="7">
        <f aca="true" t="shared" si="16" ref="D123:M123">D122/20379</f>
        <v>0.028509740419058835</v>
      </c>
      <c r="E123" s="7">
        <f t="shared" si="16"/>
        <v>0.013641493694489425</v>
      </c>
      <c r="F123" s="7">
        <f t="shared" si="16"/>
        <v>0.016144069875852592</v>
      </c>
      <c r="G123" s="7">
        <f t="shared" si="16"/>
        <v>0.09686441925511556</v>
      </c>
      <c r="H123" s="7">
        <f t="shared" si="16"/>
        <v>0.020952941753766132</v>
      </c>
      <c r="I123" s="7">
        <f t="shared" si="16"/>
        <v>0.056038078414053685</v>
      </c>
      <c r="J123" s="7">
        <f t="shared" si="16"/>
        <v>0.616026301584965</v>
      </c>
      <c r="K123" s="7">
        <f t="shared" si="16"/>
        <v>0.047205456597477796</v>
      </c>
      <c r="L123" s="7">
        <f t="shared" si="16"/>
        <v>0.07468472447126945</v>
      </c>
      <c r="M123" s="7">
        <f t="shared" si="16"/>
        <v>0.029932773933951617</v>
      </c>
      <c r="N123" s="7">
        <f>N122/276</f>
        <v>1</v>
      </c>
      <c r="O123" s="7">
        <f>O122/120</f>
        <v>0.475</v>
      </c>
      <c r="P123" s="7">
        <f>P122/120</f>
        <v>0.525</v>
      </c>
      <c r="Q123" s="7">
        <f>Q122/23</f>
        <v>1</v>
      </c>
    </row>
    <row r="124" spans="2:17" ht="4.5" customHeight="1">
      <c r="B124" s="1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9">
      <c r="A125" s="5" t="s">
        <v>68</v>
      </c>
      <c r="B125" s="1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9">
      <c r="B126" s="9" t="s">
        <v>61</v>
      </c>
      <c r="C126" s="3">
        <v>44250</v>
      </c>
      <c r="D126" s="3">
        <v>649</v>
      </c>
      <c r="E126" s="3">
        <v>369</v>
      </c>
      <c r="F126" s="3">
        <v>237</v>
      </c>
      <c r="G126" s="3">
        <v>2439</v>
      </c>
      <c r="H126" s="3">
        <v>417</v>
      </c>
      <c r="I126" s="3">
        <v>551</v>
      </c>
      <c r="J126" s="3">
        <v>7571</v>
      </c>
      <c r="K126" s="3">
        <v>1206</v>
      </c>
      <c r="L126" s="3">
        <v>2792</v>
      </c>
      <c r="M126" s="3">
        <v>864</v>
      </c>
      <c r="N126" s="3">
        <v>363</v>
      </c>
      <c r="O126" s="3">
        <v>137</v>
      </c>
      <c r="P126" s="3">
        <v>128</v>
      </c>
      <c r="Q126" s="3">
        <v>36</v>
      </c>
    </row>
    <row r="127" spans="1:17" ht="9">
      <c r="A127" s="4" t="s">
        <v>22</v>
      </c>
      <c r="C127" s="3">
        <v>44250</v>
      </c>
      <c r="D127" s="3">
        <v>649</v>
      </c>
      <c r="E127" s="3">
        <v>369</v>
      </c>
      <c r="F127" s="3">
        <v>237</v>
      </c>
      <c r="G127" s="3">
        <v>2439</v>
      </c>
      <c r="H127" s="3">
        <v>417</v>
      </c>
      <c r="I127" s="3">
        <v>551</v>
      </c>
      <c r="J127" s="3">
        <v>7571</v>
      </c>
      <c r="K127" s="3">
        <v>1206</v>
      </c>
      <c r="L127" s="3">
        <v>2792</v>
      </c>
      <c r="M127" s="3">
        <v>864</v>
      </c>
      <c r="N127" s="3">
        <v>363</v>
      </c>
      <c r="O127" s="3">
        <v>137</v>
      </c>
      <c r="P127" s="3">
        <v>128</v>
      </c>
      <c r="Q127" s="3">
        <v>36</v>
      </c>
    </row>
    <row r="128" spans="2:17" s="6" customFormat="1" ht="9">
      <c r="B128" s="10" t="s">
        <v>154</v>
      </c>
      <c r="C128" s="7">
        <f>C127/44250</f>
        <v>1</v>
      </c>
      <c r="D128" s="7">
        <f aca="true" t="shared" si="17" ref="D128:M128">D127/17095</f>
        <v>0.037964317051769524</v>
      </c>
      <c r="E128" s="7">
        <f t="shared" si="17"/>
        <v>0.02158525884761626</v>
      </c>
      <c r="F128" s="7">
        <f t="shared" si="17"/>
        <v>0.013863702837086867</v>
      </c>
      <c r="G128" s="7">
        <f t="shared" si="17"/>
        <v>0.14267329628546357</v>
      </c>
      <c r="H128" s="7">
        <f t="shared" si="17"/>
        <v>0.02439309739689968</v>
      </c>
      <c r="I128" s="7">
        <f t="shared" si="17"/>
        <v>0.03223164668031588</v>
      </c>
      <c r="J128" s="7">
        <f t="shared" si="17"/>
        <v>0.4428780345130155</v>
      </c>
      <c r="K128" s="7">
        <f t="shared" si="17"/>
        <v>0.07054694355074584</v>
      </c>
      <c r="L128" s="7">
        <f t="shared" si="17"/>
        <v>0.16332260894998538</v>
      </c>
      <c r="M128" s="7">
        <f t="shared" si="17"/>
        <v>0.05054109388710149</v>
      </c>
      <c r="N128" s="7">
        <f>N127/363</f>
        <v>1</v>
      </c>
      <c r="O128" s="7">
        <f>O127/265</f>
        <v>0.5169811320754717</v>
      </c>
      <c r="P128" s="7">
        <f>P127/265</f>
        <v>0.4830188679245283</v>
      </c>
      <c r="Q128" s="7">
        <f>Q127/36</f>
        <v>1</v>
      </c>
    </row>
    <row r="129" spans="2:17" ht="4.5" customHeight="1">
      <c r="B129" s="1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9">
      <c r="A130" s="5" t="s">
        <v>69</v>
      </c>
      <c r="B130" s="1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9">
      <c r="B131" s="9" t="s">
        <v>58</v>
      </c>
      <c r="C131" s="3">
        <v>50652</v>
      </c>
      <c r="D131" s="3">
        <v>686</v>
      </c>
      <c r="E131" s="3">
        <v>1022</v>
      </c>
      <c r="F131" s="3">
        <v>232</v>
      </c>
      <c r="G131" s="3">
        <v>1989</v>
      </c>
      <c r="H131" s="3">
        <v>572</v>
      </c>
      <c r="I131" s="3">
        <v>549</v>
      </c>
      <c r="J131" s="3">
        <v>11297</v>
      </c>
      <c r="K131" s="3">
        <v>1396</v>
      </c>
      <c r="L131" s="3">
        <v>3322</v>
      </c>
      <c r="M131" s="3">
        <v>1039</v>
      </c>
      <c r="N131" s="3">
        <v>350</v>
      </c>
      <c r="O131" s="3">
        <v>123</v>
      </c>
      <c r="P131" s="3">
        <v>175</v>
      </c>
      <c r="Q131" s="3">
        <v>56</v>
      </c>
    </row>
    <row r="132" spans="1:17" ht="9">
      <c r="A132" s="4" t="s">
        <v>22</v>
      </c>
      <c r="C132" s="3">
        <v>50652</v>
      </c>
      <c r="D132" s="3">
        <v>686</v>
      </c>
      <c r="E132" s="3">
        <v>1022</v>
      </c>
      <c r="F132" s="3">
        <v>232</v>
      </c>
      <c r="G132" s="3">
        <v>1989</v>
      </c>
      <c r="H132" s="3">
        <v>572</v>
      </c>
      <c r="I132" s="3">
        <v>549</v>
      </c>
      <c r="J132" s="3">
        <v>11297</v>
      </c>
      <c r="K132" s="3">
        <v>1396</v>
      </c>
      <c r="L132" s="3">
        <v>3322</v>
      </c>
      <c r="M132" s="3">
        <v>1039</v>
      </c>
      <c r="N132" s="3">
        <v>350</v>
      </c>
      <c r="O132" s="3">
        <v>123</v>
      </c>
      <c r="P132" s="3">
        <v>175</v>
      </c>
      <c r="Q132" s="3">
        <v>56</v>
      </c>
    </row>
    <row r="133" spans="2:17" s="6" customFormat="1" ht="9">
      <c r="B133" s="10" t="s">
        <v>154</v>
      </c>
      <c r="C133" s="7">
        <f>C132/50652</f>
        <v>1</v>
      </c>
      <c r="D133" s="7">
        <f aca="true" t="shared" si="18" ref="D133:M133">D132/22104</f>
        <v>0.03103510676800579</v>
      </c>
      <c r="E133" s="7">
        <f t="shared" si="18"/>
        <v>0.04623597538906985</v>
      </c>
      <c r="F133" s="7">
        <f t="shared" si="18"/>
        <v>0.010495837857401375</v>
      </c>
      <c r="G133" s="7">
        <f t="shared" si="18"/>
        <v>0.08998371335504886</v>
      </c>
      <c r="H133" s="7">
        <f t="shared" si="18"/>
        <v>0.02587766920014477</v>
      </c>
      <c r="I133" s="7">
        <f t="shared" si="18"/>
        <v>0.0248371335504886</v>
      </c>
      <c r="J133" s="7">
        <f t="shared" si="18"/>
        <v>0.5110839667028592</v>
      </c>
      <c r="K133" s="7">
        <f t="shared" si="18"/>
        <v>0.06315598986608759</v>
      </c>
      <c r="L133" s="7">
        <f t="shared" si="18"/>
        <v>0.15028954035468695</v>
      </c>
      <c r="M133" s="7">
        <f t="shared" si="18"/>
        <v>0.04700506695620702</v>
      </c>
      <c r="N133" s="7">
        <f>N132/350</f>
        <v>1</v>
      </c>
      <c r="O133" s="7">
        <f>O132/298</f>
        <v>0.412751677852349</v>
      </c>
      <c r="P133" s="7">
        <f>P132/298</f>
        <v>0.587248322147651</v>
      </c>
      <c r="Q133" s="7">
        <f>Q132/56</f>
        <v>1</v>
      </c>
    </row>
    <row r="134" spans="2:17" ht="4.5" customHeight="1">
      <c r="B134" s="1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9">
      <c r="A135" s="5" t="s">
        <v>71</v>
      </c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9">
      <c r="B136" s="9" t="s">
        <v>61</v>
      </c>
      <c r="C136" s="3">
        <v>31851</v>
      </c>
      <c r="D136" s="3">
        <v>772</v>
      </c>
      <c r="E136" s="3">
        <v>507</v>
      </c>
      <c r="F136" s="3">
        <v>273</v>
      </c>
      <c r="G136" s="3">
        <v>1513</v>
      </c>
      <c r="H136" s="3">
        <v>525</v>
      </c>
      <c r="I136" s="3">
        <v>511</v>
      </c>
      <c r="J136" s="3">
        <v>5523</v>
      </c>
      <c r="K136" s="3">
        <v>1167</v>
      </c>
      <c r="L136" s="3">
        <v>2698</v>
      </c>
      <c r="M136" s="3">
        <v>1094</v>
      </c>
      <c r="N136" s="3">
        <v>277</v>
      </c>
      <c r="O136" s="3">
        <v>113</v>
      </c>
      <c r="P136" s="3">
        <v>136</v>
      </c>
      <c r="Q136" s="3">
        <v>20</v>
      </c>
    </row>
    <row r="137" spans="2:17" ht="9">
      <c r="B137" s="9" t="s">
        <v>70</v>
      </c>
      <c r="C137" s="3">
        <v>4270</v>
      </c>
      <c r="D137" s="3">
        <v>112</v>
      </c>
      <c r="E137" s="3">
        <v>84</v>
      </c>
      <c r="F137" s="3">
        <v>56</v>
      </c>
      <c r="G137" s="3">
        <v>313</v>
      </c>
      <c r="H137" s="3">
        <v>55</v>
      </c>
      <c r="I137" s="3">
        <v>127</v>
      </c>
      <c r="J137" s="3">
        <v>904</v>
      </c>
      <c r="K137" s="3">
        <v>177</v>
      </c>
      <c r="L137" s="3">
        <v>352</v>
      </c>
      <c r="M137" s="3">
        <v>203</v>
      </c>
      <c r="N137" s="3">
        <v>58</v>
      </c>
      <c r="O137" s="3">
        <v>16</v>
      </c>
      <c r="P137" s="3">
        <v>16</v>
      </c>
      <c r="Q137" s="3">
        <v>7</v>
      </c>
    </row>
    <row r="138" spans="1:17" ht="9">
      <c r="A138" s="4" t="s">
        <v>22</v>
      </c>
      <c r="C138" s="3">
        <v>36121</v>
      </c>
      <c r="D138" s="3">
        <v>884</v>
      </c>
      <c r="E138" s="3">
        <v>591</v>
      </c>
      <c r="F138" s="3">
        <v>329</v>
      </c>
      <c r="G138" s="3">
        <v>1826</v>
      </c>
      <c r="H138" s="3">
        <v>580</v>
      </c>
      <c r="I138" s="3">
        <v>638</v>
      </c>
      <c r="J138" s="3">
        <v>6427</v>
      </c>
      <c r="K138" s="3">
        <v>1344</v>
      </c>
      <c r="L138" s="3">
        <v>3050</v>
      </c>
      <c r="M138" s="3">
        <v>1297</v>
      </c>
      <c r="N138" s="3">
        <v>335</v>
      </c>
      <c r="O138" s="3">
        <v>129</v>
      </c>
      <c r="P138" s="3">
        <v>152</v>
      </c>
      <c r="Q138" s="3">
        <v>27</v>
      </c>
    </row>
    <row r="139" spans="2:17" s="6" customFormat="1" ht="9">
      <c r="B139" s="10" t="s">
        <v>154</v>
      </c>
      <c r="C139" s="7">
        <f>C138/36121</f>
        <v>1</v>
      </c>
      <c r="D139" s="7">
        <f aca="true" t="shared" si="19" ref="D139:M139">D138/16966</f>
        <v>0.052104208416833664</v>
      </c>
      <c r="E139" s="7">
        <f t="shared" si="19"/>
        <v>0.03483437463161617</v>
      </c>
      <c r="F139" s="7">
        <f t="shared" si="19"/>
        <v>0.019391724625722032</v>
      </c>
      <c r="G139" s="7">
        <f t="shared" si="19"/>
        <v>0.1076270187433691</v>
      </c>
      <c r="H139" s="7">
        <f t="shared" si="19"/>
        <v>0.034186019097017566</v>
      </c>
      <c r="I139" s="7">
        <f t="shared" si="19"/>
        <v>0.037604621006719324</v>
      </c>
      <c r="J139" s="7">
        <f t="shared" si="19"/>
        <v>0.37881645644229633</v>
      </c>
      <c r="K139" s="7">
        <f t="shared" si="19"/>
        <v>0.07921725804550277</v>
      </c>
      <c r="L139" s="7">
        <f t="shared" si="19"/>
        <v>0.1797713073205234</v>
      </c>
      <c r="M139" s="7">
        <f t="shared" si="19"/>
        <v>0.07644701167039962</v>
      </c>
      <c r="N139" s="7">
        <f>N138/335</f>
        <v>1</v>
      </c>
      <c r="O139" s="7">
        <f>O138/281</f>
        <v>0.45907473309608543</v>
      </c>
      <c r="P139" s="7">
        <f>P138/281</f>
        <v>0.5409252669039146</v>
      </c>
      <c r="Q139" s="7">
        <f>Q138/27</f>
        <v>1</v>
      </c>
    </row>
    <row r="140" spans="2:17" ht="4.5" customHeight="1">
      <c r="B140" s="1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9">
      <c r="A141" s="5" t="s">
        <v>72</v>
      </c>
      <c r="B141" s="1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9">
      <c r="B142" s="9" t="s">
        <v>58</v>
      </c>
      <c r="C142" s="3">
        <v>26078</v>
      </c>
      <c r="D142" s="3">
        <v>495</v>
      </c>
      <c r="E142" s="3">
        <v>593</v>
      </c>
      <c r="F142" s="3">
        <v>170</v>
      </c>
      <c r="G142" s="3">
        <v>1357</v>
      </c>
      <c r="H142" s="3">
        <v>563</v>
      </c>
      <c r="I142" s="3">
        <v>287</v>
      </c>
      <c r="J142" s="3">
        <v>5526</v>
      </c>
      <c r="K142" s="3">
        <v>1233</v>
      </c>
      <c r="L142" s="3">
        <v>1865</v>
      </c>
      <c r="M142" s="3">
        <v>538</v>
      </c>
      <c r="N142" s="3">
        <v>145</v>
      </c>
      <c r="O142" s="3">
        <v>74</v>
      </c>
      <c r="P142" s="3">
        <v>142</v>
      </c>
      <c r="Q142" s="3">
        <v>30</v>
      </c>
    </row>
    <row r="143" spans="2:17" ht="9">
      <c r="B143" s="9" t="s">
        <v>70</v>
      </c>
      <c r="C143" s="3">
        <v>31589</v>
      </c>
      <c r="D143" s="3">
        <v>644</v>
      </c>
      <c r="E143" s="3">
        <v>373</v>
      </c>
      <c r="F143" s="3">
        <v>246</v>
      </c>
      <c r="G143" s="3">
        <v>2581</v>
      </c>
      <c r="H143" s="3">
        <v>844</v>
      </c>
      <c r="I143" s="3">
        <v>420</v>
      </c>
      <c r="J143" s="3">
        <v>8130</v>
      </c>
      <c r="K143" s="3">
        <v>2068</v>
      </c>
      <c r="L143" s="3">
        <v>2791</v>
      </c>
      <c r="M143" s="3">
        <v>720</v>
      </c>
      <c r="N143" s="3">
        <v>153</v>
      </c>
      <c r="O143" s="3">
        <v>94</v>
      </c>
      <c r="P143" s="3">
        <v>174</v>
      </c>
      <c r="Q143" s="3">
        <v>28</v>
      </c>
    </row>
    <row r="144" spans="1:17" ht="9">
      <c r="A144" s="4" t="s">
        <v>22</v>
      </c>
      <c r="C144" s="3">
        <v>57667</v>
      </c>
      <c r="D144" s="3">
        <v>1139</v>
      </c>
      <c r="E144" s="3">
        <v>966</v>
      </c>
      <c r="F144" s="3">
        <v>416</v>
      </c>
      <c r="G144" s="3">
        <v>3938</v>
      </c>
      <c r="H144" s="3">
        <v>1407</v>
      </c>
      <c r="I144" s="3">
        <v>707</v>
      </c>
      <c r="J144" s="3">
        <v>13656</v>
      </c>
      <c r="K144" s="3">
        <v>3301</v>
      </c>
      <c r="L144" s="3">
        <v>4656</v>
      </c>
      <c r="M144" s="3">
        <v>1258</v>
      </c>
      <c r="N144" s="3">
        <v>298</v>
      </c>
      <c r="O144" s="3">
        <v>168</v>
      </c>
      <c r="P144" s="3">
        <v>316</v>
      </c>
      <c r="Q144" s="3">
        <v>58</v>
      </c>
    </row>
    <row r="145" spans="2:17" s="6" customFormat="1" ht="9">
      <c r="B145" s="10" t="s">
        <v>154</v>
      </c>
      <c r="C145" s="7">
        <f>C144/57667</f>
        <v>1</v>
      </c>
      <c r="D145" s="7">
        <f aca="true" t="shared" si="20" ref="D145:M145">D144/31444</f>
        <v>0.036223126828647756</v>
      </c>
      <c r="E145" s="7">
        <f t="shared" si="20"/>
        <v>0.030721282279608193</v>
      </c>
      <c r="F145" s="7">
        <f t="shared" si="20"/>
        <v>0.013229868973413052</v>
      </c>
      <c r="G145" s="7">
        <f t="shared" si="20"/>
        <v>0.1252385192723572</v>
      </c>
      <c r="H145" s="7">
        <f t="shared" si="20"/>
        <v>0.044746215494211934</v>
      </c>
      <c r="I145" s="7">
        <f t="shared" si="20"/>
        <v>0.022484416740872662</v>
      </c>
      <c r="J145" s="7">
        <f t="shared" si="20"/>
        <v>0.43429589110800154</v>
      </c>
      <c r="K145" s="7">
        <f t="shared" si="20"/>
        <v>0.10498028240681848</v>
      </c>
      <c r="L145" s="7">
        <f t="shared" si="20"/>
        <v>0.14807276427935376</v>
      </c>
      <c r="M145" s="7">
        <f t="shared" si="20"/>
        <v>0.04000763261671543</v>
      </c>
      <c r="N145" s="7">
        <f>N144/298</f>
        <v>1</v>
      </c>
      <c r="O145" s="7">
        <f>O144/484</f>
        <v>0.34710743801652894</v>
      </c>
      <c r="P145" s="7">
        <f>P144/484</f>
        <v>0.6528925619834711</v>
      </c>
      <c r="Q145" s="7">
        <f>Q144/58</f>
        <v>1</v>
      </c>
    </row>
    <row r="146" spans="2:17" ht="4.5" customHeight="1">
      <c r="B146" s="1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9">
      <c r="A147" s="5" t="s">
        <v>73</v>
      </c>
      <c r="B147" s="1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9">
      <c r="B148" s="9" t="s">
        <v>70</v>
      </c>
      <c r="C148" s="3">
        <v>38620</v>
      </c>
      <c r="D148" s="3">
        <v>1093</v>
      </c>
      <c r="E148" s="3">
        <v>369</v>
      </c>
      <c r="F148" s="3">
        <v>331</v>
      </c>
      <c r="G148" s="3">
        <v>2483</v>
      </c>
      <c r="H148" s="3">
        <v>429</v>
      </c>
      <c r="I148" s="3">
        <v>695</v>
      </c>
      <c r="J148" s="3">
        <v>7437</v>
      </c>
      <c r="K148" s="3">
        <v>2064</v>
      </c>
      <c r="L148" s="3">
        <v>3044</v>
      </c>
      <c r="M148" s="3">
        <v>1318</v>
      </c>
      <c r="N148" s="3">
        <v>374</v>
      </c>
      <c r="O148" s="3">
        <v>177</v>
      </c>
      <c r="P148" s="3">
        <v>286</v>
      </c>
      <c r="Q148" s="3">
        <v>49</v>
      </c>
    </row>
    <row r="149" spans="1:17" ht="9">
      <c r="A149" s="4" t="s">
        <v>22</v>
      </c>
      <c r="C149" s="3">
        <v>38620</v>
      </c>
      <c r="D149" s="3">
        <v>1093</v>
      </c>
      <c r="E149" s="3">
        <v>369</v>
      </c>
      <c r="F149" s="3">
        <v>331</v>
      </c>
      <c r="G149" s="3">
        <v>2483</v>
      </c>
      <c r="H149" s="3">
        <v>429</v>
      </c>
      <c r="I149" s="3">
        <v>695</v>
      </c>
      <c r="J149" s="3">
        <v>7437</v>
      </c>
      <c r="K149" s="3">
        <v>2064</v>
      </c>
      <c r="L149" s="3">
        <v>3044</v>
      </c>
      <c r="M149" s="3">
        <v>1318</v>
      </c>
      <c r="N149" s="3">
        <v>374</v>
      </c>
      <c r="O149" s="3">
        <v>177</v>
      </c>
      <c r="P149" s="3">
        <v>286</v>
      </c>
      <c r="Q149" s="3">
        <v>49</v>
      </c>
    </row>
    <row r="150" spans="2:17" s="6" customFormat="1" ht="9">
      <c r="B150" s="10" t="s">
        <v>154</v>
      </c>
      <c r="C150" s="7">
        <f>C149/38620</f>
        <v>1</v>
      </c>
      <c r="D150" s="7">
        <f aca="true" t="shared" si="21" ref="D150:M150">D149/19264</f>
        <v>0.05673795681063123</v>
      </c>
      <c r="E150" s="7">
        <f t="shared" si="21"/>
        <v>0.019154900332225912</v>
      </c>
      <c r="F150" s="7">
        <f t="shared" si="21"/>
        <v>0.017182308970099668</v>
      </c>
      <c r="G150" s="7">
        <f t="shared" si="21"/>
        <v>0.12889327242524917</v>
      </c>
      <c r="H150" s="7">
        <f t="shared" si="21"/>
        <v>0.022269518272425248</v>
      </c>
      <c r="I150" s="7">
        <f t="shared" si="21"/>
        <v>0.03607765780730897</v>
      </c>
      <c r="J150" s="7">
        <f t="shared" si="21"/>
        <v>0.3860568936877076</v>
      </c>
      <c r="K150" s="7">
        <f t="shared" si="21"/>
        <v>0.10714285714285714</v>
      </c>
      <c r="L150" s="7">
        <f t="shared" si="21"/>
        <v>0.15801495016611294</v>
      </c>
      <c r="M150" s="7">
        <f t="shared" si="21"/>
        <v>0.06841777408637874</v>
      </c>
      <c r="N150" s="7">
        <f>N149/374</f>
        <v>1</v>
      </c>
      <c r="O150" s="7">
        <f>O149/463</f>
        <v>0.38228941684665224</v>
      </c>
      <c r="P150" s="7">
        <f>P149/463</f>
        <v>0.6177105831533477</v>
      </c>
      <c r="Q150" s="7">
        <f>Q149/49</f>
        <v>1</v>
      </c>
    </row>
    <row r="151" spans="2:17" ht="4.5" customHeight="1">
      <c r="B151" s="1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9">
      <c r="A152" s="5" t="s">
        <v>74</v>
      </c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9">
      <c r="B153" s="9" t="s">
        <v>70</v>
      </c>
      <c r="C153" s="3">
        <v>27217</v>
      </c>
      <c r="D153" s="3">
        <v>378</v>
      </c>
      <c r="E153" s="3">
        <v>137</v>
      </c>
      <c r="F153" s="3">
        <v>279</v>
      </c>
      <c r="G153" s="3">
        <v>1240</v>
      </c>
      <c r="H153" s="3">
        <v>179</v>
      </c>
      <c r="I153" s="3">
        <v>589</v>
      </c>
      <c r="J153" s="3">
        <v>3845</v>
      </c>
      <c r="K153" s="3">
        <v>975</v>
      </c>
      <c r="L153" s="3">
        <v>1475</v>
      </c>
      <c r="M153" s="3">
        <v>1389</v>
      </c>
      <c r="N153" s="3">
        <v>285</v>
      </c>
      <c r="O153" s="3">
        <v>81</v>
      </c>
      <c r="P153" s="3">
        <v>90</v>
      </c>
      <c r="Q153" s="3">
        <v>49</v>
      </c>
    </row>
    <row r="154" spans="1:17" ht="9">
      <c r="A154" s="4" t="s">
        <v>22</v>
      </c>
      <c r="C154" s="3">
        <v>27217</v>
      </c>
      <c r="D154" s="3">
        <v>378</v>
      </c>
      <c r="E154" s="3">
        <v>137</v>
      </c>
      <c r="F154" s="3">
        <v>279</v>
      </c>
      <c r="G154" s="3">
        <v>1240</v>
      </c>
      <c r="H154" s="3">
        <v>179</v>
      </c>
      <c r="I154" s="3">
        <v>589</v>
      </c>
      <c r="J154" s="3">
        <v>3845</v>
      </c>
      <c r="K154" s="3">
        <v>975</v>
      </c>
      <c r="L154" s="3">
        <v>1475</v>
      </c>
      <c r="M154" s="3">
        <v>1389</v>
      </c>
      <c r="N154" s="3">
        <v>285</v>
      </c>
      <c r="O154" s="3">
        <v>81</v>
      </c>
      <c r="P154" s="3">
        <v>90</v>
      </c>
      <c r="Q154" s="3">
        <v>49</v>
      </c>
    </row>
    <row r="155" spans="2:17" s="6" customFormat="1" ht="9">
      <c r="B155" s="10" t="s">
        <v>154</v>
      </c>
      <c r="C155" s="7">
        <f>C154/27217</f>
        <v>1</v>
      </c>
      <c r="D155" s="7">
        <f aca="true" t="shared" si="22" ref="D155:M155">D154/10486</f>
        <v>0.036048064085447265</v>
      </c>
      <c r="E155" s="7">
        <f t="shared" si="22"/>
        <v>0.013065039099752051</v>
      </c>
      <c r="F155" s="7">
        <f t="shared" si="22"/>
        <v>0.0266069044440206</v>
      </c>
      <c r="G155" s="7">
        <f t="shared" si="22"/>
        <v>0.11825290864009155</v>
      </c>
      <c r="H155" s="7">
        <f t="shared" si="22"/>
        <v>0.017070379553690635</v>
      </c>
      <c r="I155" s="7">
        <f t="shared" si="22"/>
        <v>0.05617013160404349</v>
      </c>
      <c r="J155" s="7">
        <f t="shared" si="22"/>
        <v>0.3666793820331871</v>
      </c>
      <c r="K155" s="7">
        <f t="shared" si="22"/>
        <v>0.09298111768071715</v>
      </c>
      <c r="L155" s="7">
        <f t="shared" si="22"/>
        <v>0.14066374213236696</v>
      </c>
      <c r="M155" s="7">
        <f t="shared" si="22"/>
        <v>0.1324623307266832</v>
      </c>
      <c r="N155" s="7">
        <f>N154/285</f>
        <v>1</v>
      </c>
      <c r="O155" s="7">
        <f>O154/171</f>
        <v>0.47368421052631576</v>
      </c>
      <c r="P155" s="7">
        <f>P154/171</f>
        <v>0.5263157894736842</v>
      </c>
      <c r="Q155" s="7">
        <f>Q154/49</f>
        <v>1</v>
      </c>
    </row>
    <row r="156" spans="2:17" ht="4.5" customHeight="1">
      <c r="B156" s="1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9">
      <c r="A157" s="5" t="s">
        <v>75</v>
      </c>
      <c r="B157" s="1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9">
      <c r="B158" s="9" t="s">
        <v>70</v>
      </c>
      <c r="C158" s="3">
        <v>44799</v>
      </c>
      <c r="D158" s="3">
        <v>819</v>
      </c>
      <c r="E158" s="3">
        <v>439</v>
      </c>
      <c r="F158" s="3">
        <v>523</v>
      </c>
      <c r="G158" s="3">
        <v>3182</v>
      </c>
      <c r="H158" s="3">
        <v>554</v>
      </c>
      <c r="I158" s="3">
        <v>1021</v>
      </c>
      <c r="J158" s="3">
        <v>11353</v>
      </c>
      <c r="K158" s="3">
        <v>2970</v>
      </c>
      <c r="L158" s="3">
        <v>4695</v>
      </c>
      <c r="M158" s="3">
        <v>1287</v>
      </c>
      <c r="N158" s="3">
        <v>466</v>
      </c>
      <c r="O158" s="3">
        <v>199</v>
      </c>
      <c r="P158" s="3">
        <v>235</v>
      </c>
      <c r="Q158" s="3">
        <v>62</v>
      </c>
    </row>
    <row r="159" spans="1:17" ht="9">
      <c r="A159" s="4" t="s">
        <v>22</v>
      </c>
      <c r="C159" s="3">
        <v>44799</v>
      </c>
      <c r="D159" s="3">
        <v>819</v>
      </c>
      <c r="E159" s="3">
        <v>439</v>
      </c>
      <c r="F159" s="3">
        <v>523</v>
      </c>
      <c r="G159" s="3">
        <v>3182</v>
      </c>
      <c r="H159" s="3">
        <v>554</v>
      </c>
      <c r="I159" s="3">
        <v>1021</v>
      </c>
      <c r="J159" s="3">
        <v>11353</v>
      </c>
      <c r="K159" s="3">
        <v>2970</v>
      </c>
      <c r="L159" s="3">
        <v>4695</v>
      </c>
      <c r="M159" s="3">
        <v>1287</v>
      </c>
      <c r="N159" s="3">
        <v>466</v>
      </c>
      <c r="O159" s="3">
        <v>199</v>
      </c>
      <c r="P159" s="3">
        <v>235</v>
      </c>
      <c r="Q159" s="3">
        <v>62</v>
      </c>
    </row>
    <row r="160" spans="2:17" s="6" customFormat="1" ht="9">
      <c r="B160" s="10" t="s">
        <v>154</v>
      </c>
      <c r="C160" s="7">
        <f>C159/44799</f>
        <v>1</v>
      </c>
      <c r="D160" s="7">
        <f aca="true" t="shared" si="23" ref="D160:M160">D159/26844</f>
        <v>0.030509611086276263</v>
      </c>
      <c r="E160" s="7">
        <f t="shared" si="23"/>
        <v>0.016353747578602296</v>
      </c>
      <c r="F160" s="7">
        <f t="shared" si="23"/>
        <v>0.019482938459246014</v>
      </c>
      <c r="G160" s="7">
        <f t="shared" si="23"/>
        <v>0.11853673074057518</v>
      </c>
      <c r="H160" s="7">
        <f t="shared" si="23"/>
        <v>0.0206377589032931</v>
      </c>
      <c r="I160" s="7">
        <f t="shared" si="23"/>
        <v>0.03803457010877664</v>
      </c>
      <c r="J160" s="7">
        <f t="shared" si="23"/>
        <v>0.4229250484279541</v>
      </c>
      <c r="K160" s="7">
        <f t="shared" si="23"/>
        <v>0.11063924899418864</v>
      </c>
      <c r="L160" s="7">
        <f t="shared" si="23"/>
        <v>0.17489941886455074</v>
      </c>
      <c r="M160" s="7">
        <f t="shared" si="23"/>
        <v>0.047943674564148414</v>
      </c>
      <c r="N160" s="7">
        <f>N159/466</f>
        <v>1</v>
      </c>
      <c r="O160" s="7">
        <f>O159/434</f>
        <v>0.45852534562211983</v>
      </c>
      <c r="P160" s="7">
        <f>P159/434</f>
        <v>0.5414746543778802</v>
      </c>
      <c r="Q160" s="7">
        <f>Q159/62</f>
        <v>1</v>
      </c>
    </row>
    <row r="161" spans="2:17" ht="4.5" customHeight="1">
      <c r="B161" s="1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9">
      <c r="A162" s="5" t="s">
        <v>81</v>
      </c>
      <c r="B162" s="1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9">
      <c r="B163" s="9" t="s">
        <v>76</v>
      </c>
      <c r="C163" s="3">
        <v>5014</v>
      </c>
      <c r="D163" s="3">
        <v>228</v>
      </c>
      <c r="E163" s="3">
        <v>109</v>
      </c>
      <c r="F163" s="3">
        <v>126</v>
      </c>
      <c r="G163" s="3">
        <v>789</v>
      </c>
      <c r="H163" s="3">
        <v>116</v>
      </c>
      <c r="I163" s="3">
        <v>182</v>
      </c>
      <c r="J163" s="3">
        <v>3936</v>
      </c>
      <c r="K163" s="3">
        <v>534</v>
      </c>
      <c r="L163" s="3">
        <v>631</v>
      </c>
      <c r="M163" s="3">
        <v>215</v>
      </c>
      <c r="N163" s="3">
        <v>117</v>
      </c>
      <c r="O163" s="3">
        <v>88</v>
      </c>
      <c r="P163" s="3">
        <v>65</v>
      </c>
      <c r="Q163" s="3">
        <v>11</v>
      </c>
    </row>
    <row r="164" spans="2:17" ht="9">
      <c r="B164" s="9" t="s">
        <v>77</v>
      </c>
      <c r="C164" s="3">
        <v>3892</v>
      </c>
      <c r="D164" s="3">
        <v>132</v>
      </c>
      <c r="E164" s="3">
        <v>69</v>
      </c>
      <c r="F164" s="3">
        <v>64</v>
      </c>
      <c r="G164" s="3">
        <v>262</v>
      </c>
      <c r="H164" s="3">
        <v>50</v>
      </c>
      <c r="I164" s="3">
        <v>102</v>
      </c>
      <c r="J164" s="3">
        <v>6164</v>
      </c>
      <c r="K164" s="3">
        <v>230</v>
      </c>
      <c r="L164" s="3">
        <v>419</v>
      </c>
      <c r="M164" s="3">
        <v>124</v>
      </c>
      <c r="N164" s="3">
        <v>99</v>
      </c>
      <c r="O164" s="3">
        <v>34</v>
      </c>
      <c r="P164" s="3">
        <v>32</v>
      </c>
      <c r="Q164" s="3">
        <v>3</v>
      </c>
    </row>
    <row r="165" spans="2:17" ht="9">
      <c r="B165" s="9" t="s">
        <v>78</v>
      </c>
      <c r="C165" s="3">
        <v>1792</v>
      </c>
      <c r="D165" s="3">
        <v>60</v>
      </c>
      <c r="E165" s="3">
        <v>33</v>
      </c>
      <c r="F165" s="3">
        <v>39</v>
      </c>
      <c r="G165" s="3">
        <v>109</v>
      </c>
      <c r="H165" s="3">
        <v>23</v>
      </c>
      <c r="I165" s="3">
        <v>59</v>
      </c>
      <c r="J165" s="3">
        <v>2185</v>
      </c>
      <c r="K165" s="3">
        <v>120</v>
      </c>
      <c r="L165" s="3">
        <v>186</v>
      </c>
      <c r="M165" s="3">
        <v>71</v>
      </c>
      <c r="N165" s="3">
        <v>35</v>
      </c>
      <c r="O165" s="3">
        <v>16</v>
      </c>
      <c r="P165" s="3">
        <v>11</v>
      </c>
      <c r="Q165" s="3">
        <v>4</v>
      </c>
    </row>
    <row r="166" spans="2:17" ht="9">
      <c r="B166" s="9" t="s">
        <v>79</v>
      </c>
      <c r="C166" s="3">
        <v>1098</v>
      </c>
      <c r="D166" s="3">
        <v>58</v>
      </c>
      <c r="E166" s="3">
        <v>24</v>
      </c>
      <c r="F166" s="3">
        <v>29</v>
      </c>
      <c r="G166" s="3">
        <v>139</v>
      </c>
      <c r="H166" s="3">
        <v>25</v>
      </c>
      <c r="I166" s="3">
        <v>52</v>
      </c>
      <c r="J166" s="3">
        <v>578</v>
      </c>
      <c r="K166" s="3">
        <v>101</v>
      </c>
      <c r="L166" s="3">
        <v>117</v>
      </c>
      <c r="M166" s="3">
        <v>84</v>
      </c>
      <c r="N166" s="3">
        <v>25</v>
      </c>
      <c r="O166" s="3">
        <v>8</v>
      </c>
      <c r="P166" s="3">
        <v>10</v>
      </c>
      <c r="Q166" s="3">
        <v>3</v>
      </c>
    </row>
    <row r="167" spans="2:17" ht="9">
      <c r="B167" s="9" t="s">
        <v>66</v>
      </c>
      <c r="C167" s="3">
        <v>17617</v>
      </c>
      <c r="D167" s="3">
        <v>521</v>
      </c>
      <c r="E167" s="3">
        <v>256</v>
      </c>
      <c r="F167" s="3">
        <v>344</v>
      </c>
      <c r="G167" s="3">
        <v>1611</v>
      </c>
      <c r="H167" s="3">
        <v>289</v>
      </c>
      <c r="I167" s="3">
        <v>566</v>
      </c>
      <c r="J167" s="3">
        <v>12506</v>
      </c>
      <c r="K167" s="3">
        <v>1317</v>
      </c>
      <c r="L167" s="3">
        <v>2651</v>
      </c>
      <c r="M167" s="3">
        <v>500</v>
      </c>
      <c r="N167" s="3">
        <v>261</v>
      </c>
      <c r="O167" s="3">
        <v>56</v>
      </c>
      <c r="P167" s="3">
        <v>51</v>
      </c>
      <c r="Q167" s="3">
        <v>43</v>
      </c>
    </row>
    <row r="168" spans="2:17" ht="9">
      <c r="B168" s="9" t="s">
        <v>80</v>
      </c>
      <c r="C168" s="3">
        <v>5842</v>
      </c>
      <c r="D168" s="3">
        <v>243</v>
      </c>
      <c r="E168" s="3">
        <v>123</v>
      </c>
      <c r="F168" s="3">
        <v>128</v>
      </c>
      <c r="G168" s="3">
        <v>804</v>
      </c>
      <c r="H168" s="3">
        <v>135</v>
      </c>
      <c r="I168" s="3">
        <v>180</v>
      </c>
      <c r="J168" s="3">
        <v>3817</v>
      </c>
      <c r="K168" s="3">
        <v>575</v>
      </c>
      <c r="L168" s="3">
        <v>791</v>
      </c>
      <c r="M168" s="3">
        <v>265</v>
      </c>
      <c r="N168" s="3">
        <v>104</v>
      </c>
      <c r="O168" s="3">
        <v>49</v>
      </c>
      <c r="P168" s="3">
        <v>29</v>
      </c>
      <c r="Q168" s="3">
        <v>10</v>
      </c>
    </row>
    <row r="169" spans="1:17" ht="9">
      <c r="A169" s="4" t="s">
        <v>22</v>
      </c>
      <c r="C169" s="3">
        <v>35255</v>
      </c>
      <c r="D169" s="3">
        <v>1242</v>
      </c>
      <c r="E169" s="3">
        <v>614</v>
      </c>
      <c r="F169" s="3">
        <v>730</v>
      </c>
      <c r="G169" s="3">
        <v>3714</v>
      </c>
      <c r="H169" s="3">
        <v>638</v>
      </c>
      <c r="I169" s="3">
        <v>1141</v>
      </c>
      <c r="J169" s="3">
        <v>29186</v>
      </c>
      <c r="K169" s="3">
        <v>2877</v>
      </c>
      <c r="L169" s="3">
        <v>4795</v>
      </c>
      <c r="M169" s="3">
        <v>1259</v>
      </c>
      <c r="N169" s="3">
        <v>641</v>
      </c>
      <c r="O169" s="3">
        <v>251</v>
      </c>
      <c r="P169" s="3">
        <v>198</v>
      </c>
      <c r="Q169" s="3">
        <v>74</v>
      </c>
    </row>
    <row r="170" spans="2:17" s="6" customFormat="1" ht="9">
      <c r="B170" s="10" t="s">
        <v>154</v>
      </c>
      <c r="C170" s="7">
        <f>C169/35255</f>
        <v>1</v>
      </c>
      <c r="D170" s="7">
        <f aca="true" t="shared" si="24" ref="D170:M170">D169/46196</f>
        <v>0.026885444627240455</v>
      </c>
      <c r="E170" s="7">
        <f t="shared" si="24"/>
        <v>0.013291194042774266</v>
      </c>
      <c r="F170" s="7">
        <f t="shared" si="24"/>
        <v>0.015802233959650185</v>
      </c>
      <c r="G170" s="7">
        <f t="shared" si="24"/>
        <v>0.08039657113169972</v>
      </c>
      <c r="H170" s="7">
        <f t="shared" si="24"/>
        <v>0.01381071954281756</v>
      </c>
      <c r="I170" s="7">
        <f t="shared" si="24"/>
        <v>0.024699108147891592</v>
      </c>
      <c r="J170" s="7">
        <f t="shared" si="24"/>
        <v>0.6317863018443155</v>
      </c>
      <c r="K170" s="7">
        <f t="shared" si="24"/>
        <v>0.062278119317689846</v>
      </c>
      <c r="L170" s="7">
        <f t="shared" si="24"/>
        <v>0.10379686552948307</v>
      </c>
      <c r="M170" s="7">
        <f t="shared" si="24"/>
        <v>0.02725344185643779</v>
      </c>
      <c r="N170" s="7">
        <f>N169/641</f>
        <v>1</v>
      </c>
      <c r="O170" s="7">
        <f>O169/449</f>
        <v>0.5590200445434298</v>
      </c>
      <c r="P170" s="7">
        <f>P169/449</f>
        <v>0.44097995545657015</v>
      </c>
      <c r="Q170" s="7">
        <f>Q169/74</f>
        <v>1</v>
      </c>
    </row>
    <row r="171" spans="2:17" ht="4.5" customHeight="1">
      <c r="B171" s="1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9">
      <c r="A172" s="5" t="s">
        <v>82</v>
      </c>
      <c r="B172" s="1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9">
      <c r="B173" s="9" t="s">
        <v>53</v>
      </c>
      <c r="C173" s="3">
        <v>16117</v>
      </c>
      <c r="D173" s="3">
        <v>522</v>
      </c>
      <c r="E173" s="3">
        <v>335</v>
      </c>
      <c r="F173" s="3">
        <v>586</v>
      </c>
      <c r="G173" s="3">
        <v>1967</v>
      </c>
      <c r="H173" s="3">
        <v>571</v>
      </c>
      <c r="I173" s="3">
        <v>674</v>
      </c>
      <c r="J173" s="3">
        <v>11195</v>
      </c>
      <c r="K173" s="3">
        <v>954</v>
      </c>
      <c r="L173" s="3">
        <v>1789</v>
      </c>
      <c r="M173" s="3">
        <v>589</v>
      </c>
      <c r="N173" s="3">
        <v>195</v>
      </c>
      <c r="O173" s="3">
        <v>62</v>
      </c>
      <c r="P173" s="3">
        <v>46</v>
      </c>
      <c r="Q173" s="3">
        <v>26</v>
      </c>
    </row>
    <row r="174" spans="2:17" ht="9">
      <c r="B174" s="9" t="s">
        <v>66</v>
      </c>
      <c r="C174" s="3">
        <v>10494</v>
      </c>
      <c r="D174" s="3">
        <v>264</v>
      </c>
      <c r="E174" s="3">
        <v>135</v>
      </c>
      <c r="F174" s="3">
        <v>205</v>
      </c>
      <c r="G174" s="3">
        <v>871</v>
      </c>
      <c r="H174" s="3">
        <v>116</v>
      </c>
      <c r="I174" s="3">
        <v>345</v>
      </c>
      <c r="J174" s="3">
        <v>6664</v>
      </c>
      <c r="K174" s="3">
        <v>558</v>
      </c>
      <c r="L174" s="3">
        <v>908</v>
      </c>
      <c r="M174" s="3">
        <v>292</v>
      </c>
      <c r="N174" s="3">
        <v>147</v>
      </c>
      <c r="O174" s="3">
        <v>29</v>
      </c>
      <c r="P174" s="3">
        <v>31</v>
      </c>
      <c r="Q174" s="3">
        <v>23</v>
      </c>
    </row>
    <row r="175" spans="1:17" ht="9">
      <c r="A175" s="4" t="s">
        <v>22</v>
      </c>
      <c r="C175" s="3">
        <v>26611</v>
      </c>
      <c r="D175" s="3">
        <v>786</v>
      </c>
      <c r="E175" s="3">
        <v>470</v>
      </c>
      <c r="F175" s="3">
        <v>791</v>
      </c>
      <c r="G175" s="3">
        <v>2838</v>
      </c>
      <c r="H175" s="3">
        <v>687</v>
      </c>
      <c r="I175" s="3">
        <v>1019</v>
      </c>
      <c r="J175" s="3">
        <v>17859</v>
      </c>
      <c r="K175" s="3">
        <v>1512</v>
      </c>
      <c r="L175" s="3">
        <v>2697</v>
      </c>
      <c r="M175" s="3">
        <v>881</v>
      </c>
      <c r="N175" s="3">
        <v>342</v>
      </c>
      <c r="O175" s="3">
        <v>91</v>
      </c>
      <c r="P175" s="3">
        <v>77</v>
      </c>
      <c r="Q175" s="3">
        <v>49</v>
      </c>
    </row>
    <row r="176" spans="2:17" s="6" customFormat="1" ht="9">
      <c r="B176" s="10" t="s">
        <v>154</v>
      </c>
      <c r="C176" s="7">
        <f>C175/26611</f>
        <v>1</v>
      </c>
      <c r="D176" s="7">
        <f aca="true" t="shared" si="25" ref="D176:M176">D175/29540</f>
        <v>0.026607989167230874</v>
      </c>
      <c r="E176" s="7">
        <f t="shared" si="25"/>
        <v>0.015910629654705483</v>
      </c>
      <c r="F176" s="7">
        <f t="shared" si="25"/>
        <v>0.026777251184834122</v>
      </c>
      <c r="G176" s="7">
        <f t="shared" si="25"/>
        <v>0.0960731211916046</v>
      </c>
      <c r="H176" s="7">
        <f t="shared" si="25"/>
        <v>0.023256601218686525</v>
      </c>
      <c r="I176" s="7">
        <f t="shared" si="25"/>
        <v>0.03449559918754232</v>
      </c>
      <c r="J176" s="7">
        <f t="shared" si="25"/>
        <v>0.6045700744752878</v>
      </c>
      <c r="K176" s="7">
        <f t="shared" si="25"/>
        <v>0.05118483412322275</v>
      </c>
      <c r="L176" s="7">
        <f t="shared" si="25"/>
        <v>0.09129993229519295</v>
      </c>
      <c r="M176" s="7">
        <f t="shared" si="25"/>
        <v>0.02982396750169262</v>
      </c>
      <c r="N176" s="7">
        <f>N175/342</f>
        <v>1</v>
      </c>
      <c r="O176" s="7">
        <f>O175/168</f>
        <v>0.5416666666666666</v>
      </c>
      <c r="P176" s="7">
        <f>P175/168</f>
        <v>0.4583333333333333</v>
      </c>
      <c r="Q176" s="7">
        <f>Q175/49</f>
        <v>1</v>
      </c>
    </row>
    <row r="177" spans="2:17" ht="4.5" customHeight="1">
      <c r="B177" s="1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9">
      <c r="A178" s="5" t="s">
        <v>85</v>
      </c>
      <c r="B178" s="1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9">
      <c r="B179" s="9" t="s">
        <v>83</v>
      </c>
      <c r="C179" s="3">
        <v>19353</v>
      </c>
      <c r="D179" s="3">
        <v>505</v>
      </c>
      <c r="E179" s="3">
        <v>234</v>
      </c>
      <c r="F179" s="3">
        <v>215</v>
      </c>
      <c r="G179" s="3">
        <v>2713</v>
      </c>
      <c r="H179" s="3">
        <v>358</v>
      </c>
      <c r="I179" s="3">
        <v>687</v>
      </c>
      <c r="J179" s="3">
        <v>6329</v>
      </c>
      <c r="K179" s="3">
        <v>724</v>
      </c>
      <c r="L179" s="3">
        <v>1155</v>
      </c>
      <c r="M179" s="3">
        <v>519</v>
      </c>
      <c r="N179" s="3">
        <v>162</v>
      </c>
      <c r="O179" s="3">
        <v>57</v>
      </c>
      <c r="P179" s="3">
        <v>83</v>
      </c>
      <c r="Q179" s="3">
        <v>32</v>
      </c>
    </row>
    <row r="180" spans="2:17" ht="9">
      <c r="B180" s="9" t="s">
        <v>70</v>
      </c>
      <c r="C180" s="3">
        <v>4345</v>
      </c>
      <c r="D180" s="3">
        <v>131</v>
      </c>
      <c r="E180" s="3">
        <v>76</v>
      </c>
      <c r="F180" s="3">
        <v>65</v>
      </c>
      <c r="G180" s="3">
        <v>578</v>
      </c>
      <c r="H180" s="3">
        <v>98</v>
      </c>
      <c r="I180" s="3">
        <v>222</v>
      </c>
      <c r="J180" s="3">
        <v>1853</v>
      </c>
      <c r="K180" s="3">
        <v>264</v>
      </c>
      <c r="L180" s="3">
        <v>711</v>
      </c>
      <c r="M180" s="3">
        <v>157</v>
      </c>
      <c r="N180" s="3">
        <v>65</v>
      </c>
      <c r="O180" s="3">
        <v>17</v>
      </c>
      <c r="P180" s="3">
        <v>29</v>
      </c>
      <c r="Q180" s="3">
        <v>5</v>
      </c>
    </row>
    <row r="181" spans="2:17" ht="9">
      <c r="B181" s="9" t="s">
        <v>84</v>
      </c>
      <c r="C181" s="3">
        <v>37918</v>
      </c>
      <c r="D181" s="3">
        <v>568</v>
      </c>
      <c r="E181" s="3">
        <v>281</v>
      </c>
      <c r="F181" s="3">
        <v>220</v>
      </c>
      <c r="G181" s="3">
        <v>1293</v>
      </c>
      <c r="H181" s="3">
        <v>473</v>
      </c>
      <c r="I181" s="3">
        <v>624</v>
      </c>
      <c r="J181" s="3">
        <v>7000</v>
      </c>
      <c r="K181" s="3">
        <v>779</v>
      </c>
      <c r="L181" s="3">
        <v>1385</v>
      </c>
      <c r="M181" s="3">
        <v>648</v>
      </c>
      <c r="N181" s="3">
        <v>376</v>
      </c>
      <c r="O181" s="3">
        <v>239</v>
      </c>
      <c r="P181" s="3">
        <v>284</v>
      </c>
      <c r="Q181" s="3">
        <v>118</v>
      </c>
    </row>
    <row r="182" spans="1:17" ht="9">
      <c r="A182" s="4" t="s">
        <v>22</v>
      </c>
      <c r="C182" s="3">
        <v>61616</v>
      </c>
      <c r="D182" s="3">
        <v>1204</v>
      </c>
      <c r="E182" s="3">
        <v>591</v>
      </c>
      <c r="F182" s="3">
        <v>500</v>
      </c>
      <c r="G182" s="3">
        <v>4584</v>
      </c>
      <c r="H182" s="3">
        <v>929</v>
      </c>
      <c r="I182" s="3">
        <v>1533</v>
      </c>
      <c r="J182" s="3">
        <v>15182</v>
      </c>
      <c r="K182" s="3">
        <v>1767</v>
      </c>
      <c r="L182" s="3">
        <v>3251</v>
      </c>
      <c r="M182" s="3">
        <v>1324</v>
      </c>
      <c r="N182" s="3">
        <v>603</v>
      </c>
      <c r="O182" s="3">
        <v>313</v>
      </c>
      <c r="P182" s="3">
        <v>396</v>
      </c>
      <c r="Q182" s="3">
        <v>155</v>
      </c>
    </row>
    <row r="183" spans="2:17" s="6" customFormat="1" ht="9">
      <c r="B183" s="10" t="s">
        <v>154</v>
      </c>
      <c r="C183" s="7">
        <f>C182/61616</f>
        <v>1</v>
      </c>
      <c r="D183" s="7">
        <f aca="true" t="shared" si="26" ref="D183:M183">D182/30865</f>
        <v>0.03900858577676981</v>
      </c>
      <c r="E183" s="7">
        <f t="shared" si="26"/>
        <v>0.019147902154543983</v>
      </c>
      <c r="F183" s="7">
        <f t="shared" si="26"/>
        <v>0.016199578810950917</v>
      </c>
      <c r="G183" s="7">
        <f t="shared" si="26"/>
        <v>0.148517738538798</v>
      </c>
      <c r="H183" s="7">
        <f t="shared" si="26"/>
        <v>0.0300988174307468</v>
      </c>
      <c r="I183" s="7">
        <f t="shared" si="26"/>
        <v>0.04966790863437551</v>
      </c>
      <c r="J183" s="7">
        <f t="shared" si="26"/>
        <v>0.4918840110157136</v>
      </c>
      <c r="K183" s="7">
        <f t="shared" si="26"/>
        <v>0.05724931151790053</v>
      </c>
      <c r="L183" s="7">
        <f t="shared" si="26"/>
        <v>0.10532966142880285</v>
      </c>
      <c r="M183" s="7">
        <f t="shared" si="26"/>
        <v>0.04289648469139802</v>
      </c>
      <c r="N183" s="7">
        <f>N182/603</f>
        <v>1</v>
      </c>
      <c r="O183" s="7">
        <f>O182/709</f>
        <v>0.4414668547249647</v>
      </c>
      <c r="P183" s="7">
        <f>P182/709</f>
        <v>0.5585331452750353</v>
      </c>
      <c r="Q183" s="7">
        <f>Q182/155</f>
        <v>1</v>
      </c>
    </row>
    <row r="184" spans="2:17" ht="4.5" customHeight="1">
      <c r="B184" s="1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9">
      <c r="A185" s="5" t="s">
        <v>87</v>
      </c>
      <c r="B185" s="1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9">
      <c r="B186" s="9" t="s">
        <v>83</v>
      </c>
      <c r="C186" s="3">
        <v>11549</v>
      </c>
      <c r="D186" s="3">
        <v>332</v>
      </c>
      <c r="E186" s="3">
        <v>128</v>
      </c>
      <c r="F186" s="3">
        <v>111</v>
      </c>
      <c r="G186" s="3">
        <v>1378</v>
      </c>
      <c r="H186" s="3">
        <v>152</v>
      </c>
      <c r="I186" s="3">
        <v>291</v>
      </c>
      <c r="J186" s="3">
        <v>4332</v>
      </c>
      <c r="K186" s="3">
        <v>423</v>
      </c>
      <c r="L186" s="3">
        <v>584</v>
      </c>
      <c r="M186" s="3">
        <v>364</v>
      </c>
      <c r="N186" s="3">
        <v>122</v>
      </c>
      <c r="O186" s="3">
        <v>31</v>
      </c>
      <c r="P186" s="3">
        <v>33</v>
      </c>
      <c r="Q186" s="3">
        <v>10</v>
      </c>
    </row>
    <row r="187" spans="2:17" ht="9">
      <c r="B187" s="9" t="s">
        <v>86</v>
      </c>
      <c r="C187" s="3">
        <v>5280</v>
      </c>
      <c r="D187" s="3">
        <v>183</v>
      </c>
      <c r="E187" s="3">
        <v>93</v>
      </c>
      <c r="F187" s="3">
        <v>54</v>
      </c>
      <c r="G187" s="3">
        <v>608</v>
      </c>
      <c r="H187" s="3">
        <v>102</v>
      </c>
      <c r="I187" s="3">
        <v>153</v>
      </c>
      <c r="J187" s="3">
        <v>2225</v>
      </c>
      <c r="K187" s="3">
        <v>285</v>
      </c>
      <c r="L187" s="3">
        <v>514</v>
      </c>
      <c r="M187" s="3">
        <v>174</v>
      </c>
      <c r="N187" s="3">
        <v>94</v>
      </c>
      <c r="O187" s="3">
        <v>30</v>
      </c>
      <c r="P187" s="3">
        <v>28</v>
      </c>
      <c r="Q187" s="3">
        <v>3</v>
      </c>
    </row>
    <row r="188" spans="2:17" ht="9">
      <c r="B188" s="9" t="s">
        <v>70</v>
      </c>
      <c r="C188" s="3">
        <v>6557</v>
      </c>
      <c r="D188" s="3">
        <v>124</v>
      </c>
      <c r="E188" s="3">
        <v>82</v>
      </c>
      <c r="F188" s="3">
        <v>46</v>
      </c>
      <c r="G188" s="3">
        <v>697</v>
      </c>
      <c r="H188" s="3">
        <v>74</v>
      </c>
      <c r="I188" s="3">
        <v>118</v>
      </c>
      <c r="J188" s="3">
        <v>1792</v>
      </c>
      <c r="K188" s="3">
        <v>234</v>
      </c>
      <c r="L188" s="3">
        <v>596</v>
      </c>
      <c r="M188" s="3">
        <v>147</v>
      </c>
      <c r="N188" s="3">
        <v>72</v>
      </c>
      <c r="O188" s="3">
        <v>21</v>
      </c>
      <c r="P188" s="3">
        <v>31</v>
      </c>
      <c r="Q188" s="3">
        <v>10</v>
      </c>
    </row>
    <row r="189" spans="2:17" ht="9">
      <c r="B189" s="9" t="s">
        <v>84</v>
      </c>
      <c r="C189" s="3">
        <v>4029</v>
      </c>
      <c r="D189" s="3">
        <v>60</v>
      </c>
      <c r="E189" s="3">
        <v>20</v>
      </c>
      <c r="F189" s="3">
        <v>11</v>
      </c>
      <c r="G189" s="3">
        <v>186</v>
      </c>
      <c r="H189" s="3">
        <v>53</v>
      </c>
      <c r="I189" s="3">
        <v>63</v>
      </c>
      <c r="J189" s="3">
        <v>905</v>
      </c>
      <c r="K189" s="3">
        <v>88</v>
      </c>
      <c r="L189" s="3">
        <v>151</v>
      </c>
      <c r="M189" s="3">
        <v>76</v>
      </c>
      <c r="N189" s="3">
        <v>49</v>
      </c>
      <c r="O189" s="3">
        <v>9</v>
      </c>
      <c r="P189" s="3">
        <v>11</v>
      </c>
      <c r="Q189" s="3">
        <v>9</v>
      </c>
    </row>
    <row r="190" spans="1:17" ht="9">
      <c r="A190" s="4" t="s">
        <v>22</v>
      </c>
      <c r="C190" s="3">
        <v>27415</v>
      </c>
      <c r="D190" s="3">
        <v>699</v>
      </c>
      <c r="E190" s="3">
        <v>323</v>
      </c>
      <c r="F190" s="3">
        <v>222</v>
      </c>
      <c r="G190" s="3">
        <v>2869</v>
      </c>
      <c r="H190" s="3">
        <v>381</v>
      </c>
      <c r="I190" s="3">
        <v>625</v>
      </c>
      <c r="J190" s="3">
        <v>9254</v>
      </c>
      <c r="K190" s="3">
        <v>1030</v>
      </c>
      <c r="L190" s="3">
        <v>1845</v>
      </c>
      <c r="M190" s="3">
        <v>761</v>
      </c>
      <c r="N190" s="3">
        <v>337</v>
      </c>
      <c r="O190" s="3">
        <v>91</v>
      </c>
      <c r="P190" s="3">
        <v>103</v>
      </c>
      <c r="Q190" s="3">
        <v>32</v>
      </c>
    </row>
    <row r="191" spans="2:17" s="6" customFormat="1" ht="9">
      <c r="B191" s="10" t="s">
        <v>154</v>
      </c>
      <c r="C191" s="7">
        <f>C190/27415</f>
        <v>1</v>
      </c>
      <c r="D191" s="7">
        <f aca="true" t="shared" si="27" ref="D191:M191">D190/18009</f>
        <v>0.03881392637014826</v>
      </c>
      <c r="E191" s="7">
        <f t="shared" si="27"/>
        <v>0.0179354767060914</v>
      </c>
      <c r="F191" s="7">
        <f t="shared" si="27"/>
        <v>0.012327169748459104</v>
      </c>
      <c r="G191" s="7">
        <f t="shared" si="27"/>
        <v>0.159309234271753</v>
      </c>
      <c r="H191" s="7">
        <f t="shared" si="27"/>
        <v>0.02115608862235549</v>
      </c>
      <c r="I191" s="7">
        <f t="shared" si="27"/>
        <v>0.034704869787328556</v>
      </c>
      <c r="J191" s="7">
        <f t="shared" si="27"/>
        <v>0.5138541840191015</v>
      </c>
      <c r="K191" s="7">
        <f t="shared" si="27"/>
        <v>0.057193625409517466</v>
      </c>
      <c r="L191" s="7">
        <f t="shared" si="27"/>
        <v>0.1024487756121939</v>
      </c>
      <c r="M191" s="7">
        <f t="shared" si="27"/>
        <v>0.04225664945305125</v>
      </c>
      <c r="N191" s="7">
        <f>N190/337</f>
        <v>1</v>
      </c>
      <c r="O191" s="7">
        <f>O190/194</f>
        <v>0.4690721649484536</v>
      </c>
      <c r="P191" s="7">
        <f>P190/194</f>
        <v>0.5309278350515464</v>
      </c>
      <c r="Q191" s="7">
        <f>Q190/32</f>
        <v>1</v>
      </c>
    </row>
    <row r="192" spans="2:17" ht="4.5" customHeight="1">
      <c r="B192" s="1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9">
      <c r="A193" s="5" t="s">
        <v>90</v>
      </c>
      <c r="B193" s="1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9">
      <c r="B194" s="9" t="s">
        <v>88</v>
      </c>
      <c r="C194" s="3">
        <v>27900</v>
      </c>
      <c r="D194" s="3">
        <v>494</v>
      </c>
      <c r="E194" s="3">
        <v>209</v>
      </c>
      <c r="F194" s="3">
        <v>138</v>
      </c>
      <c r="G194" s="3">
        <v>1565</v>
      </c>
      <c r="H194" s="3">
        <v>233</v>
      </c>
      <c r="I194" s="3">
        <v>408</v>
      </c>
      <c r="J194" s="3">
        <v>43350</v>
      </c>
      <c r="K194" s="3">
        <v>591</v>
      </c>
      <c r="L194" s="3">
        <v>1369</v>
      </c>
      <c r="M194" s="3">
        <v>412</v>
      </c>
      <c r="N194" s="3">
        <v>317</v>
      </c>
      <c r="O194" s="3">
        <v>84</v>
      </c>
      <c r="P194" s="3">
        <v>116</v>
      </c>
      <c r="Q194" s="3">
        <v>32</v>
      </c>
    </row>
    <row r="195" spans="2:17" ht="9">
      <c r="B195" s="9" t="s">
        <v>77</v>
      </c>
      <c r="C195" s="3">
        <v>3583</v>
      </c>
      <c r="D195" s="3">
        <v>61</v>
      </c>
      <c r="E195" s="3">
        <v>26</v>
      </c>
      <c r="F195" s="3">
        <v>31</v>
      </c>
      <c r="G195" s="3">
        <v>133</v>
      </c>
      <c r="H195" s="3">
        <v>34</v>
      </c>
      <c r="I195" s="3">
        <v>55</v>
      </c>
      <c r="J195" s="3">
        <v>4229</v>
      </c>
      <c r="K195" s="3">
        <v>100</v>
      </c>
      <c r="L195" s="3">
        <v>108</v>
      </c>
      <c r="M195" s="3">
        <v>55</v>
      </c>
      <c r="N195" s="3">
        <v>48</v>
      </c>
      <c r="O195" s="3">
        <v>9</v>
      </c>
      <c r="P195" s="3">
        <v>12</v>
      </c>
      <c r="Q195" s="3">
        <v>5</v>
      </c>
    </row>
    <row r="196" spans="2:17" ht="9">
      <c r="B196" s="9" t="s">
        <v>89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9">
      <c r="A197" s="4" t="s">
        <v>22</v>
      </c>
      <c r="C197" s="3">
        <v>31483</v>
      </c>
      <c r="D197" s="3">
        <v>555</v>
      </c>
      <c r="E197" s="3">
        <v>235</v>
      </c>
      <c r="F197" s="3">
        <v>169</v>
      </c>
      <c r="G197" s="3">
        <v>1698</v>
      </c>
      <c r="H197" s="3">
        <v>267</v>
      </c>
      <c r="I197" s="3">
        <v>463</v>
      </c>
      <c r="J197" s="3">
        <v>47579</v>
      </c>
      <c r="K197" s="3">
        <v>691</v>
      </c>
      <c r="L197" s="3">
        <v>1477</v>
      </c>
      <c r="M197" s="3">
        <v>467</v>
      </c>
      <c r="N197" s="3">
        <v>365</v>
      </c>
      <c r="O197" s="3">
        <v>93</v>
      </c>
      <c r="P197" s="3">
        <v>128</v>
      </c>
      <c r="Q197" s="3">
        <v>37</v>
      </c>
    </row>
    <row r="198" spans="2:17" s="6" customFormat="1" ht="9">
      <c r="B198" s="10" t="s">
        <v>154</v>
      </c>
      <c r="C198" s="7">
        <f>C197/31483</f>
        <v>1</v>
      </c>
      <c r="D198" s="7">
        <f aca="true" t="shared" si="28" ref="D198:M198">D197/53601</f>
        <v>0.010354284434991885</v>
      </c>
      <c r="E198" s="7">
        <f t="shared" si="28"/>
        <v>0.004384246562564131</v>
      </c>
      <c r="F198" s="7">
        <f t="shared" si="28"/>
        <v>0.003152926251375907</v>
      </c>
      <c r="G198" s="7">
        <f t="shared" si="28"/>
        <v>0.03167851346056977</v>
      </c>
      <c r="H198" s="7">
        <f t="shared" si="28"/>
        <v>0.004981250349806907</v>
      </c>
      <c r="I198" s="7">
        <f t="shared" si="28"/>
        <v>0.008637898546668906</v>
      </c>
      <c r="J198" s="7">
        <f t="shared" si="28"/>
        <v>0.8876513497882502</v>
      </c>
      <c r="K198" s="7">
        <f t="shared" si="28"/>
        <v>0.01289155053077368</v>
      </c>
      <c r="L198" s="7">
        <f t="shared" si="28"/>
        <v>0.02755545605492435</v>
      </c>
      <c r="M198" s="7">
        <f t="shared" si="28"/>
        <v>0.008712524020074252</v>
      </c>
      <c r="N198" s="7">
        <f>N197/365</f>
        <v>1</v>
      </c>
      <c r="O198" s="7">
        <f>O197/221</f>
        <v>0.42081447963800905</v>
      </c>
      <c r="P198" s="7">
        <f>P197/221</f>
        <v>0.579185520361991</v>
      </c>
      <c r="Q198" s="7">
        <f>Q197/37</f>
        <v>1</v>
      </c>
    </row>
    <row r="199" spans="2:17" ht="4.5" customHeight="1">
      <c r="B199" s="1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9">
      <c r="A200" s="5" t="s">
        <v>93</v>
      </c>
      <c r="B200" s="1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9">
      <c r="B201" s="9" t="s">
        <v>88</v>
      </c>
      <c r="C201" s="3">
        <v>1973</v>
      </c>
      <c r="D201" s="3">
        <v>42</v>
      </c>
      <c r="E201" s="3">
        <v>25</v>
      </c>
      <c r="F201" s="3">
        <v>13</v>
      </c>
      <c r="G201" s="3">
        <v>167</v>
      </c>
      <c r="H201" s="3">
        <v>20</v>
      </c>
      <c r="I201" s="3">
        <v>44</v>
      </c>
      <c r="J201" s="3">
        <v>2911</v>
      </c>
      <c r="K201" s="3">
        <v>54</v>
      </c>
      <c r="L201" s="3">
        <v>137</v>
      </c>
      <c r="M201" s="3">
        <v>51</v>
      </c>
      <c r="N201" s="3">
        <v>29</v>
      </c>
      <c r="O201" s="3">
        <v>5</v>
      </c>
      <c r="P201" s="3">
        <v>10</v>
      </c>
      <c r="Q201" s="3">
        <v>2</v>
      </c>
    </row>
    <row r="202" spans="2:17" ht="9">
      <c r="B202" s="9" t="s">
        <v>91</v>
      </c>
      <c r="C202" s="3">
        <v>7968</v>
      </c>
      <c r="D202" s="3">
        <v>183</v>
      </c>
      <c r="E202" s="3">
        <v>96</v>
      </c>
      <c r="F202" s="3">
        <v>54</v>
      </c>
      <c r="G202" s="3">
        <v>693</v>
      </c>
      <c r="H202" s="3">
        <v>122</v>
      </c>
      <c r="I202" s="3">
        <v>136</v>
      </c>
      <c r="J202" s="3">
        <v>2219</v>
      </c>
      <c r="K202" s="3">
        <v>203</v>
      </c>
      <c r="L202" s="3">
        <v>244</v>
      </c>
      <c r="M202" s="3">
        <v>147</v>
      </c>
      <c r="N202" s="3">
        <v>96</v>
      </c>
      <c r="O202" s="3">
        <v>14</v>
      </c>
      <c r="P202" s="3">
        <v>14</v>
      </c>
      <c r="Q202" s="3">
        <v>7</v>
      </c>
    </row>
    <row r="203" spans="2:17" ht="9">
      <c r="B203" s="9" t="s">
        <v>92</v>
      </c>
      <c r="C203" s="3">
        <v>5864</v>
      </c>
      <c r="D203" s="3">
        <v>144</v>
      </c>
      <c r="E203" s="3">
        <v>96</v>
      </c>
      <c r="F203" s="3">
        <v>67</v>
      </c>
      <c r="G203" s="3">
        <v>420</v>
      </c>
      <c r="H203" s="3">
        <v>110</v>
      </c>
      <c r="I203" s="3">
        <v>156</v>
      </c>
      <c r="J203" s="3">
        <v>6589</v>
      </c>
      <c r="K203" s="3">
        <v>214</v>
      </c>
      <c r="L203" s="3">
        <v>241</v>
      </c>
      <c r="M203" s="3">
        <v>206</v>
      </c>
      <c r="N203" s="3">
        <v>79</v>
      </c>
      <c r="O203" s="3">
        <v>13</v>
      </c>
      <c r="P203" s="3">
        <v>22</v>
      </c>
      <c r="Q203" s="3">
        <v>2</v>
      </c>
    </row>
    <row r="204" spans="2:17" ht="9">
      <c r="B204" s="9" t="s">
        <v>89</v>
      </c>
      <c r="C204" s="3">
        <v>1216</v>
      </c>
      <c r="D204" s="3">
        <v>21</v>
      </c>
      <c r="E204" s="3">
        <v>14</v>
      </c>
      <c r="F204" s="3">
        <v>5</v>
      </c>
      <c r="G204" s="3">
        <v>39</v>
      </c>
      <c r="H204" s="3">
        <v>7</v>
      </c>
      <c r="I204" s="3">
        <v>13</v>
      </c>
      <c r="J204" s="3">
        <v>1552</v>
      </c>
      <c r="K204" s="3">
        <v>22</v>
      </c>
      <c r="L204" s="3">
        <v>22</v>
      </c>
      <c r="M204" s="3">
        <v>7</v>
      </c>
      <c r="N204" s="3">
        <v>21</v>
      </c>
      <c r="O204" s="3">
        <v>2</v>
      </c>
      <c r="P204" s="3">
        <v>1</v>
      </c>
      <c r="Q204" s="3">
        <v>1</v>
      </c>
    </row>
    <row r="205" spans="1:17" ht="9">
      <c r="A205" s="4" t="s">
        <v>22</v>
      </c>
      <c r="C205" s="3">
        <v>17021</v>
      </c>
      <c r="D205" s="3">
        <v>390</v>
      </c>
      <c r="E205" s="3">
        <v>231</v>
      </c>
      <c r="F205" s="3">
        <v>139</v>
      </c>
      <c r="G205" s="3">
        <v>1319</v>
      </c>
      <c r="H205" s="3">
        <v>259</v>
      </c>
      <c r="I205" s="3">
        <v>349</v>
      </c>
      <c r="J205" s="3">
        <v>13271</v>
      </c>
      <c r="K205" s="3">
        <v>493</v>
      </c>
      <c r="L205" s="3">
        <v>644</v>
      </c>
      <c r="M205" s="3">
        <v>411</v>
      </c>
      <c r="N205" s="3">
        <v>225</v>
      </c>
      <c r="O205" s="3">
        <v>34</v>
      </c>
      <c r="P205" s="3">
        <v>47</v>
      </c>
      <c r="Q205" s="3">
        <v>12</v>
      </c>
    </row>
    <row r="206" spans="2:17" s="6" customFormat="1" ht="9">
      <c r="B206" s="10" t="s">
        <v>154</v>
      </c>
      <c r="C206" s="7">
        <f>C205/17021</f>
        <v>1</v>
      </c>
      <c r="D206" s="7">
        <f aca="true" t="shared" si="29" ref="D206:M206">D205/17506</f>
        <v>0.02227807608819833</v>
      </c>
      <c r="E206" s="7">
        <f t="shared" si="29"/>
        <v>0.013195475836855935</v>
      </c>
      <c r="F206" s="7">
        <f t="shared" si="29"/>
        <v>0.00794013481092197</v>
      </c>
      <c r="G206" s="7">
        <f t="shared" si="29"/>
        <v>0.07534559579572718</v>
      </c>
      <c r="H206" s="7">
        <f t="shared" si="29"/>
        <v>0.014794927453444533</v>
      </c>
      <c r="I206" s="7">
        <f t="shared" si="29"/>
        <v>0.019936021935336456</v>
      </c>
      <c r="J206" s="7">
        <f t="shared" si="29"/>
        <v>0.7580829429909746</v>
      </c>
      <c r="K206" s="7">
        <f t="shared" si="29"/>
        <v>0.028161773106363534</v>
      </c>
      <c r="L206" s="7">
        <f t="shared" si="29"/>
        <v>0.03678738718153776</v>
      </c>
      <c r="M206" s="7">
        <f t="shared" si="29"/>
        <v>0.02347766480063978</v>
      </c>
      <c r="N206" s="7">
        <f>N205/225</f>
        <v>1</v>
      </c>
      <c r="O206" s="7">
        <f>O205/81</f>
        <v>0.41975308641975306</v>
      </c>
      <c r="P206" s="7">
        <f>P205/81</f>
        <v>0.5802469135802469</v>
      </c>
      <c r="Q206" s="7">
        <f>Q205/12</f>
        <v>1</v>
      </c>
    </row>
    <row r="207" spans="2:17" ht="4.5" customHeight="1">
      <c r="B207" s="1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9">
      <c r="A208" s="5" t="s">
        <v>94</v>
      </c>
      <c r="B208" s="1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9">
      <c r="B209" s="9" t="s">
        <v>88</v>
      </c>
      <c r="C209" s="3">
        <v>21292</v>
      </c>
      <c r="D209" s="3">
        <v>292</v>
      </c>
      <c r="E209" s="3">
        <v>114</v>
      </c>
      <c r="F209" s="3">
        <v>96</v>
      </c>
      <c r="G209" s="3">
        <v>802</v>
      </c>
      <c r="H209" s="3">
        <v>209</v>
      </c>
      <c r="I209" s="3">
        <v>207</v>
      </c>
      <c r="J209" s="3">
        <v>12510</v>
      </c>
      <c r="K209" s="3">
        <v>374</v>
      </c>
      <c r="L209" s="3">
        <v>635</v>
      </c>
      <c r="M209" s="3">
        <v>198</v>
      </c>
      <c r="N209" s="3">
        <v>159</v>
      </c>
      <c r="O209" s="3">
        <v>47</v>
      </c>
      <c r="P209" s="3">
        <v>46</v>
      </c>
      <c r="Q209" s="3">
        <v>30</v>
      </c>
    </row>
    <row r="210" spans="2:17" ht="9">
      <c r="B210" s="9" t="s">
        <v>89</v>
      </c>
      <c r="C210" s="3">
        <v>1188</v>
      </c>
      <c r="D210" s="3">
        <v>27</v>
      </c>
      <c r="E210" s="3">
        <v>8</v>
      </c>
      <c r="F210" s="3">
        <v>5</v>
      </c>
      <c r="G210" s="3">
        <v>45</v>
      </c>
      <c r="H210" s="3">
        <v>15</v>
      </c>
      <c r="I210" s="3">
        <v>11</v>
      </c>
      <c r="J210" s="3">
        <v>1102</v>
      </c>
      <c r="K210" s="3">
        <v>18</v>
      </c>
      <c r="L210" s="3">
        <v>28</v>
      </c>
      <c r="M210" s="3">
        <v>7</v>
      </c>
      <c r="N210" s="3">
        <v>10</v>
      </c>
      <c r="O210" s="3">
        <v>1</v>
      </c>
      <c r="P210" s="3">
        <v>2</v>
      </c>
      <c r="Q210" s="3">
        <v>2</v>
      </c>
    </row>
    <row r="211" spans="1:17" ht="9">
      <c r="A211" s="4" t="s">
        <v>22</v>
      </c>
      <c r="C211" s="3">
        <v>22480</v>
      </c>
      <c r="D211" s="3">
        <v>319</v>
      </c>
      <c r="E211" s="3">
        <v>122</v>
      </c>
      <c r="F211" s="3">
        <v>101</v>
      </c>
      <c r="G211" s="3">
        <v>847</v>
      </c>
      <c r="H211" s="3">
        <v>224</v>
      </c>
      <c r="I211" s="3">
        <v>218</v>
      </c>
      <c r="J211" s="3">
        <v>13612</v>
      </c>
      <c r="K211" s="3">
        <v>392</v>
      </c>
      <c r="L211" s="3">
        <v>663</v>
      </c>
      <c r="M211" s="3">
        <v>205</v>
      </c>
      <c r="N211" s="3">
        <v>169</v>
      </c>
      <c r="O211" s="3">
        <v>48</v>
      </c>
      <c r="P211" s="3">
        <v>48</v>
      </c>
      <c r="Q211" s="3">
        <v>32</v>
      </c>
    </row>
    <row r="212" spans="2:17" s="6" customFormat="1" ht="9">
      <c r="B212" s="10" t="s">
        <v>154</v>
      </c>
      <c r="C212" s="7">
        <f>C211/22480</f>
        <v>1</v>
      </c>
      <c r="D212" s="7">
        <f aca="true" t="shared" si="30" ref="D212:M212">D211/16703</f>
        <v>0.0190983655630725</v>
      </c>
      <c r="E212" s="7">
        <f t="shared" si="30"/>
        <v>0.007304077111896066</v>
      </c>
      <c r="F212" s="7">
        <f t="shared" si="30"/>
        <v>0.006046817936897563</v>
      </c>
      <c r="G212" s="7">
        <f t="shared" si="30"/>
        <v>0.0507094533916063</v>
      </c>
      <c r="H212" s="7">
        <f t="shared" si="30"/>
        <v>0.013410764533317368</v>
      </c>
      <c r="I212" s="7">
        <f t="shared" si="30"/>
        <v>0.013051547626174938</v>
      </c>
      <c r="J212" s="7">
        <f t="shared" si="30"/>
        <v>0.8149434233371251</v>
      </c>
      <c r="K212" s="7">
        <f t="shared" si="30"/>
        <v>0.023468837933305394</v>
      </c>
      <c r="L212" s="7">
        <f t="shared" si="30"/>
        <v>0.03969346823923846</v>
      </c>
      <c r="M212" s="7">
        <f t="shared" si="30"/>
        <v>0.012273244327366341</v>
      </c>
      <c r="N212" s="7">
        <f>N211/169</f>
        <v>1</v>
      </c>
      <c r="O212" s="7">
        <f>O211/96</f>
        <v>0.5</v>
      </c>
      <c r="P212" s="7">
        <f>P211/96</f>
        <v>0.5</v>
      </c>
      <c r="Q212" s="7">
        <f>Q211/32</f>
        <v>1</v>
      </c>
    </row>
    <row r="213" spans="2:17" ht="4.5" customHeight="1">
      <c r="B213" s="1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9">
      <c r="A214" s="5" t="s">
        <v>96</v>
      </c>
      <c r="B214" s="1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9">
      <c r="B215" s="9" t="s">
        <v>91</v>
      </c>
      <c r="C215" s="3">
        <v>24010</v>
      </c>
      <c r="D215" s="3">
        <v>3140</v>
      </c>
      <c r="E215" s="3">
        <v>577</v>
      </c>
      <c r="F215" s="3">
        <v>708</v>
      </c>
      <c r="G215" s="3">
        <v>7541</v>
      </c>
      <c r="H215" s="3">
        <v>1637</v>
      </c>
      <c r="I215" s="3">
        <v>1763</v>
      </c>
      <c r="J215" s="3">
        <v>23530</v>
      </c>
      <c r="K215" s="3">
        <v>3286</v>
      </c>
      <c r="L215" s="3">
        <v>3932</v>
      </c>
      <c r="M215" s="3">
        <v>3000</v>
      </c>
      <c r="N215" s="3">
        <v>647</v>
      </c>
      <c r="O215" s="3">
        <v>151</v>
      </c>
      <c r="P215" s="3">
        <v>173</v>
      </c>
      <c r="Q215" s="3">
        <v>27</v>
      </c>
    </row>
    <row r="216" spans="2:17" ht="9">
      <c r="B216" s="9" t="s">
        <v>95</v>
      </c>
      <c r="C216" s="3">
        <v>116</v>
      </c>
      <c r="D216" s="3">
        <v>11</v>
      </c>
      <c r="E216" s="3">
        <v>0</v>
      </c>
      <c r="F216" s="3">
        <v>0</v>
      </c>
      <c r="G216" s="3">
        <v>13</v>
      </c>
      <c r="H216" s="3">
        <v>1</v>
      </c>
      <c r="I216" s="3">
        <v>4</v>
      </c>
      <c r="J216" s="3">
        <v>45</v>
      </c>
      <c r="K216" s="3">
        <v>21</v>
      </c>
      <c r="L216" s="3">
        <v>13</v>
      </c>
      <c r="M216" s="3">
        <v>16</v>
      </c>
      <c r="N216" s="3">
        <v>8</v>
      </c>
      <c r="O216" s="3">
        <v>0</v>
      </c>
      <c r="P216" s="3">
        <v>4</v>
      </c>
      <c r="Q216" s="3">
        <v>0</v>
      </c>
    </row>
    <row r="217" spans="1:17" ht="9">
      <c r="A217" s="4" t="s">
        <v>22</v>
      </c>
      <c r="C217" s="3">
        <v>24126</v>
      </c>
      <c r="D217" s="3">
        <v>3151</v>
      </c>
      <c r="E217" s="3">
        <v>577</v>
      </c>
      <c r="F217" s="3">
        <v>708</v>
      </c>
      <c r="G217" s="3">
        <v>7554</v>
      </c>
      <c r="H217" s="3">
        <v>1638</v>
      </c>
      <c r="I217" s="3">
        <v>1767</v>
      </c>
      <c r="J217" s="3">
        <v>23575</v>
      </c>
      <c r="K217" s="3">
        <v>3307</v>
      </c>
      <c r="L217" s="3">
        <v>3945</v>
      </c>
      <c r="M217" s="3">
        <v>3016</v>
      </c>
      <c r="N217" s="3">
        <v>655</v>
      </c>
      <c r="O217" s="3">
        <v>151</v>
      </c>
      <c r="P217" s="3">
        <v>177</v>
      </c>
      <c r="Q217" s="3">
        <v>27</v>
      </c>
    </row>
    <row r="218" spans="2:17" s="6" customFormat="1" ht="9">
      <c r="B218" s="10" t="s">
        <v>154</v>
      </c>
      <c r="C218" s="7">
        <f>C217/24126</f>
        <v>1</v>
      </c>
      <c r="D218" s="7">
        <f aca="true" t="shared" si="31" ref="D218:M218">D217/49238</f>
        <v>0.06399528819204679</v>
      </c>
      <c r="E218" s="7">
        <f t="shared" si="31"/>
        <v>0.011718591331898127</v>
      </c>
      <c r="F218" s="7">
        <f t="shared" si="31"/>
        <v>0.014379138064096835</v>
      </c>
      <c r="G218" s="7">
        <f t="shared" si="31"/>
        <v>0.15341809171777895</v>
      </c>
      <c r="H218" s="7">
        <f t="shared" si="31"/>
        <v>0.03326698891100369</v>
      </c>
      <c r="I218" s="7">
        <f t="shared" si="31"/>
        <v>0.035886916609123035</v>
      </c>
      <c r="J218" s="7">
        <f t="shared" si="31"/>
        <v>0.47879686421056905</v>
      </c>
      <c r="K218" s="7">
        <f t="shared" si="31"/>
        <v>0.06716357285023762</v>
      </c>
      <c r="L218" s="7">
        <f t="shared" si="31"/>
        <v>0.08012104472155653</v>
      </c>
      <c r="M218" s="7">
        <f t="shared" si="31"/>
        <v>0.06125350339168935</v>
      </c>
      <c r="N218" s="7">
        <f>N217/655</f>
        <v>1</v>
      </c>
      <c r="O218" s="7">
        <f>O217/328</f>
        <v>0.4603658536585366</v>
      </c>
      <c r="P218" s="7">
        <f>P217/328</f>
        <v>0.5396341463414634</v>
      </c>
      <c r="Q218" s="7">
        <f>Q217/27</f>
        <v>1</v>
      </c>
    </row>
    <row r="219" spans="2:17" ht="4.5" customHeight="1">
      <c r="B219" s="1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9">
      <c r="A220" s="5" t="s">
        <v>99</v>
      </c>
      <c r="B220" s="1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9">
      <c r="B221" s="9" t="s">
        <v>97</v>
      </c>
      <c r="C221" s="3">
        <v>27103</v>
      </c>
      <c r="D221" s="3">
        <v>1089</v>
      </c>
      <c r="E221" s="3">
        <v>386</v>
      </c>
      <c r="F221" s="3">
        <v>439</v>
      </c>
      <c r="G221" s="3">
        <v>2958</v>
      </c>
      <c r="H221" s="3">
        <v>591</v>
      </c>
      <c r="I221" s="3">
        <v>684</v>
      </c>
      <c r="J221" s="3">
        <v>19063</v>
      </c>
      <c r="K221" s="3">
        <v>2052</v>
      </c>
      <c r="L221" s="3">
        <v>3222</v>
      </c>
      <c r="M221" s="3">
        <v>2227</v>
      </c>
      <c r="N221" s="3">
        <v>356</v>
      </c>
      <c r="O221" s="3">
        <v>223</v>
      </c>
      <c r="P221" s="3">
        <v>132</v>
      </c>
      <c r="Q221" s="3">
        <v>29</v>
      </c>
    </row>
    <row r="222" spans="2:17" ht="9">
      <c r="B222" s="9" t="s">
        <v>98</v>
      </c>
      <c r="C222" s="3">
        <v>11778</v>
      </c>
      <c r="D222" s="3">
        <v>635</v>
      </c>
      <c r="E222" s="3">
        <v>201</v>
      </c>
      <c r="F222" s="3">
        <v>250</v>
      </c>
      <c r="G222" s="3">
        <v>2339</v>
      </c>
      <c r="H222" s="3">
        <v>302</v>
      </c>
      <c r="I222" s="3">
        <v>475</v>
      </c>
      <c r="J222" s="3">
        <v>8623</v>
      </c>
      <c r="K222" s="3">
        <v>971</v>
      </c>
      <c r="L222" s="3">
        <v>1480</v>
      </c>
      <c r="M222" s="3">
        <v>1593</v>
      </c>
      <c r="N222" s="3">
        <v>174</v>
      </c>
      <c r="O222" s="3">
        <v>63</v>
      </c>
      <c r="P222" s="3">
        <v>53</v>
      </c>
      <c r="Q222" s="3">
        <v>18</v>
      </c>
    </row>
    <row r="223" spans="1:17" ht="9">
      <c r="A223" s="4" t="s">
        <v>22</v>
      </c>
      <c r="C223" s="3">
        <v>38881</v>
      </c>
      <c r="D223" s="3">
        <v>1724</v>
      </c>
      <c r="E223" s="3">
        <v>587</v>
      </c>
      <c r="F223" s="3">
        <v>689</v>
      </c>
      <c r="G223" s="3">
        <v>5297</v>
      </c>
      <c r="H223" s="3">
        <v>893</v>
      </c>
      <c r="I223" s="3">
        <v>1159</v>
      </c>
      <c r="J223" s="3">
        <v>27686</v>
      </c>
      <c r="K223" s="3">
        <v>3023</v>
      </c>
      <c r="L223" s="3">
        <v>4702</v>
      </c>
      <c r="M223" s="3">
        <v>3820</v>
      </c>
      <c r="N223" s="3">
        <v>530</v>
      </c>
      <c r="O223" s="3">
        <v>286</v>
      </c>
      <c r="P223" s="3">
        <v>185</v>
      </c>
      <c r="Q223" s="3">
        <v>47</v>
      </c>
    </row>
    <row r="224" spans="2:17" s="6" customFormat="1" ht="9">
      <c r="B224" s="10" t="s">
        <v>154</v>
      </c>
      <c r="C224" s="7">
        <f>C223/38881</f>
        <v>1</v>
      </c>
      <c r="D224" s="7">
        <f aca="true" t="shared" si="32" ref="D224:M224">D223/49580</f>
        <v>0.03477208551835417</v>
      </c>
      <c r="E224" s="7">
        <f t="shared" si="32"/>
        <v>0.011839451391690198</v>
      </c>
      <c r="F224" s="7">
        <f t="shared" si="32"/>
        <v>0.01389673255344897</v>
      </c>
      <c r="G224" s="7">
        <f t="shared" si="32"/>
        <v>0.10683743444937475</v>
      </c>
      <c r="H224" s="7">
        <f t="shared" si="32"/>
        <v>0.018011294876966517</v>
      </c>
      <c r="I224" s="7">
        <f t="shared" si="32"/>
        <v>0.023376361436062927</v>
      </c>
      <c r="J224" s="7">
        <f t="shared" si="32"/>
        <v>0.5584106494554256</v>
      </c>
      <c r="K224" s="7">
        <f t="shared" si="32"/>
        <v>0.06097216619604679</v>
      </c>
      <c r="L224" s="7">
        <f t="shared" si="32"/>
        <v>0.09483662767244856</v>
      </c>
      <c r="M224" s="7">
        <f t="shared" si="32"/>
        <v>0.07704719645018153</v>
      </c>
      <c r="N224" s="7">
        <f>N223/530</f>
        <v>1</v>
      </c>
      <c r="O224" s="7">
        <f>O223/471</f>
        <v>0.6072186836518046</v>
      </c>
      <c r="P224" s="7">
        <f>P223/471</f>
        <v>0.39278131634819535</v>
      </c>
      <c r="Q224" s="7">
        <f>Q223/47</f>
        <v>1</v>
      </c>
    </row>
    <row r="225" spans="2:17" ht="4.5" customHeight="1">
      <c r="B225" s="1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9">
      <c r="A226" s="5" t="s">
        <v>101</v>
      </c>
      <c r="B226" s="1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9">
      <c r="B227" s="9" t="s">
        <v>100</v>
      </c>
      <c r="C227" s="3">
        <v>1694</v>
      </c>
      <c r="D227" s="3">
        <v>118</v>
      </c>
      <c r="E227" s="3">
        <v>47</v>
      </c>
      <c r="F227" s="3">
        <v>56</v>
      </c>
      <c r="G227" s="3">
        <v>205</v>
      </c>
      <c r="H227" s="3">
        <v>54</v>
      </c>
      <c r="I227" s="3">
        <v>101</v>
      </c>
      <c r="J227" s="3">
        <v>1383</v>
      </c>
      <c r="K227" s="3">
        <v>226</v>
      </c>
      <c r="L227" s="3">
        <v>172</v>
      </c>
      <c r="M227" s="3">
        <v>173</v>
      </c>
      <c r="N227" s="3">
        <v>57</v>
      </c>
      <c r="O227" s="3">
        <v>15</v>
      </c>
      <c r="P227" s="3">
        <v>17</v>
      </c>
      <c r="Q227" s="3">
        <v>7</v>
      </c>
    </row>
    <row r="228" spans="2:17" ht="9">
      <c r="B228" s="9" t="s">
        <v>91</v>
      </c>
      <c r="C228" s="3">
        <v>1723</v>
      </c>
      <c r="D228" s="3">
        <v>165</v>
      </c>
      <c r="E228" s="3">
        <v>42</v>
      </c>
      <c r="F228" s="3">
        <v>91</v>
      </c>
      <c r="G228" s="3">
        <v>695</v>
      </c>
      <c r="H228" s="3">
        <v>48</v>
      </c>
      <c r="I228" s="3">
        <v>116</v>
      </c>
      <c r="J228" s="3">
        <v>1198</v>
      </c>
      <c r="K228" s="3">
        <v>344</v>
      </c>
      <c r="L228" s="3">
        <v>188</v>
      </c>
      <c r="M228" s="3">
        <v>278</v>
      </c>
      <c r="N228" s="3">
        <v>86</v>
      </c>
      <c r="O228" s="3">
        <v>18</v>
      </c>
      <c r="P228" s="3">
        <v>15</v>
      </c>
      <c r="Q228" s="3">
        <v>6</v>
      </c>
    </row>
    <row r="229" spans="2:17" ht="9">
      <c r="B229" s="9" t="s">
        <v>95</v>
      </c>
      <c r="C229" s="3">
        <v>2681</v>
      </c>
      <c r="D229" s="3">
        <v>188</v>
      </c>
      <c r="E229" s="3">
        <v>34</v>
      </c>
      <c r="F229" s="3">
        <v>84</v>
      </c>
      <c r="G229" s="3">
        <v>531</v>
      </c>
      <c r="H229" s="3">
        <v>44</v>
      </c>
      <c r="I229" s="3">
        <v>128</v>
      </c>
      <c r="J229" s="3">
        <v>1103</v>
      </c>
      <c r="K229" s="3">
        <v>301</v>
      </c>
      <c r="L229" s="3">
        <v>171</v>
      </c>
      <c r="M229" s="3">
        <v>198</v>
      </c>
      <c r="N229" s="3">
        <v>96</v>
      </c>
      <c r="O229" s="3">
        <v>16</v>
      </c>
      <c r="P229" s="3">
        <v>18</v>
      </c>
      <c r="Q229" s="3">
        <v>1</v>
      </c>
    </row>
    <row r="230" spans="2:17" ht="9">
      <c r="B230" s="9" t="s">
        <v>89</v>
      </c>
      <c r="C230" s="3">
        <v>15443</v>
      </c>
      <c r="D230" s="3">
        <v>277</v>
      </c>
      <c r="E230" s="3">
        <v>149</v>
      </c>
      <c r="F230" s="3">
        <v>167</v>
      </c>
      <c r="G230" s="3">
        <v>834</v>
      </c>
      <c r="H230" s="3">
        <v>101</v>
      </c>
      <c r="I230" s="3">
        <v>365</v>
      </c>
      <c r="J230" s="3">
        <v>24107</v>
      </c>
      <c r="K230" s="3">
        <v>441</v>
      </c>
      <c r="L230" s="3">
        <v>651</v>
      </c>
      <c r="M230" s="3">
        <v>311</v>
      </c>
      <c r="N230" s="3">
        <v>260</v>
      </c>
      <c r="O230" s="3">
        <v>48</v>
      </c>
      <c r="P230" s="3">
        <v>72</v>
      </c>
      <c r="Q230" s="3">
        <v>20</v>
      </c>
    </row>
    <row r="231" spans="1:17" ht="9">
      <c r="A231" s="4" t="s">
        <v>22</v>
      </c>
      <c r="C231" s="3">
        <v>21541</v>
      </c>
      <c r="D231" s="3">
        <v>748</v>
      </c>
      <c r="E231" s="3">
        <v>272</v>
      </c>
      <c r="F231" s="3">
        <v>398</v>
      </c>
      <c r="G231" s="3">
        <v>2265</v>
      </c>
      <c r="H231" s="3">
        <v>247</v>
      </c>
      <c r="I231" s="3">
        <v>710</v>
      </c>
      <c r="J231" s="3">
        <v>27791</v>
      </c>
      <c r="K231" s="3">
        <v>1312</v>
      </c>
      <c r="L231" s="3">
        <v>1182</v>
      </c>
      <c r="M231" s="3">
        <v>960</v>
      </c>
      <c r="N231" s="3">
        <v>499</v>
      </c>
      <c r="O231" s="3">
        <v>97</v>
      </c>
      <c r="P231" s="3">
        <v>122</v>
      </c>
      <c r="Q231" s="3">
        <v>34</v>
      </c>
    </row>
    <row r="232" spans="2:17" s="6" customFormat="1" ht="9">
      <c r="B232" s="10" t="s">
        <v>154</v>
      </c>
      <c r="C232" s="7">
        <f>C231/21541</f>
        <v>1</v>
      </c>
      <c r="D232" s="7">
        <f aca="true" t="shared" si="33" ref="D232:M232">D231/35885</f>
        <v>0.020844363940365054</v>
      </c>
      <c r="E232" s="7">
        <f t="shared" si="33"/>
        <v>0.007579768705587292</v>
      </c>
      <c r="F232" s="7">
        <f t="shared" si="33"/>
        <v>0.01109098509126376</v>
      </c>
      <c r="G232" s="7">
        <f t="shared" si="33"/>
        <v>0.06311829455204124</v>
      </c>
      <c r="H232" s="7">
        <f t="shared" si="33"/>
        <v>0.0068830987877943435</v>
      </c>
      <c r="I232" s="7">
        <f t="shared" si="33"/>
        <v>0.01978542566531977</v>
      </c>
      <c r="J232" s="7">
        <f t="shared" si="33"/>
        <v>0.7744461474153546</v>
      </c>
      <c r="K232" s="7">
        <f t="shared" si="33"/>
        <v>0.036561237285774</v>
      </c>
      <c r="L232" s="7">
        <f t="shared" si="33"/>
        <v>0.03293855371325066</v>
      </c>
      <c r="M232" s="7">
        <f t="shared" si="33"/>
        <v>0.026752124843249268</v>
      </c>
      <c r="N232" s="7">
        <f>N231/499</f>
        <v>1</v>
      </c>
      <c r="O232" s="7">
        <f>O231/219</f>
        <v>0.4429223744292237</v>
      </c>
      <c r="P232" s="7">
        <f>P231/219</f>
        <v>0.5570776255707762</v>
      </c>
      <c r="Q232" s="7">
        <f>Q231/34</f>
        <v>1</v>
      </c>
    </row>
    <row r="233" spans="2:17" ht="4.5" customHeight="1">
      <c r="B233" s="1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9">
      <c r="A234" s="5" t="s">
        <v>103</v>
      </c>
      <c r="B234" s="1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9">
      <c r="B235" s="9" t="s">
        <v>98</v>
      </c>
      <c r="C235" s="3">
        <v>29311</v>
      </c>
      <c r="D235" s="3">
        <v>480</v>
      </c>
      <c r="E235" s="3">
        <v>238</v>
      </c>
      <c r="F235" s="3">
        <v>311</v>
      </c>
      <c r="G235" s="3">
        <v>5498</v>
      </c>
      <c r="H235" s="3">
        <v>514</v>
      </c>
      <c r="I235" s="3">
        <v>579</v>
      </c>
      <c r="J235" s="3">
        <v>8055</v>
      </c>
      <c r="K235" s="3">
        <v>1126</v>
      </c>
      <c r="L235" s="3">
        <v>2131</v>
      </c>
      <c r="M235" s="3">
        <v>697</v>
      </c>
      <c r="N235" s="3">
        <v>204</v>
      </c>
      <c r="O235" s="3">
        <v>107</v>
      </c>
      <c r="P235" s="3">
        <v>127</v>
      </c>
      <c r="Q235" s="3">
        <v>33</v>
      </c>
    </row>
    <row r="236" spans="2:17" ht="9">
      <c r="B236" s="9" t="s">
        <v>102</v>
      </c>
      <c r="C236" s="3">
        <v>16176</v>
      </c>
      <c r="D236" s="3">
        <v>383</v>
      </c>
      <c r="E236" s="3">
        <v>148</v>
      </c>
      <c r="F236" s="3">
        <v>261</v>
      </c>
      <c r="G236" s="3">
        <v>3738</v>
      </c>
      <c r="H236" s="3">
        <v>258</v>
      </c>
      <c r="I236" s="3">
        <v>452</v>
      </c>
      <c r="J236" s="3">
        <v>4024</v>
      </c>
      <c r="K236" s="3">
        <v>756</v>
      </c>
      <c r="L236" s="3">
        <v>1330</v>
      </c>
      <c r="M236" s="3">
        <v>684</v>
      </c>
      <c r="N236" s="3">
        <v>191</v>
      </c>
      <c r="O236" s="3">
        <v>66</v>
      </c>
      <c r="P236" s="3">
        <v>69</v>
      </c>
      <c r="Q236" s="3">
        <v>27</v>
      </c>
    </row>
    <row r="237" spans="1:17" ht="9">
      <c r="A237" s="4" t="s">
        <v>22</v>
      </c>
      <c r="C237" s="3">
        <v>45487</v>
      </c>
      <c r="D237" s="3">
        <v>863</v>
      </c>
      <c r="E237" s="3">
        <v>386</v>
      </c>
      <c r="F237" s="3">
        <v>572</v>
      </c>
      <c r="G237" s="3">
        <v>9236</v>
      </c>
      <c r="H237" s="3">
        <v>772</v>
      </c>
      <c r="I237" s="3">
        <v>1031</v>
      </c>
      <c r="J237" s="3">
        <v>12079</v>
      </c>
      <c r="K237" s="3">
        <v>1882</v>
      </c>
      <c r="L237" s="3">
        <v>3461</v>
      </c>
      <c r="M237" s="3">
        <v>1381</v>
      </c>
      <c r="N237" s="3">
        <v>395</v>
      </c>
      <c r="O237" s="3">
        <v>173</v>
      </c>
      <c r="P237" s="3">
        <v>196</v>
      </c>
      <c r="Q237" s="3">
        <v>60</v>
      </c>
    </row>
    <row r="238" spans="2:17" s="6" customFormat="1" ht="9">
      <c r="B238" s="10" t="s">
        <v>154</v>
      </c>
      <c r="C238" s="7">
        <f>C237/45487</f>
        <v>1</v>
      </c>
      <c r="D238" s="7">
        <f aca="true" t="shared" si="34" ref="D238:M238">D237/31663</f>
        <v>0.02725578751223826</v>
      </c>
      <c r="E238" s="7">
        <f t="shared" si="34"/>
        <v>0.012190885260398573</v>
      </c>
      <c r="F238" s="7">
        <f t="shared" si="34"/>
        <v>0.018065249660487004</v>
      </c>
      <c r="G238" s="7">
        <f t="shared" si="34"/>
        <v>0.29169693332912233</v>
      </c>
      <c r="H238" s="7">
        <f t="shared" si="34"/>
        <v>0.024381770520797146</v>
      </c>
      <c r="I238" s="7">
        <f t="shared" si="34"/>
        <v>0.032561665034898775</v>
      </c>
      <c r="J238" s="7">
        <f t="shared" si="34"/>
        <v>0.381486277358431</v>
      </c>
      <c r="K238" s="7">
        <f t="shared" si="34"/>
        <v>0.05943846129551843</v>
      </c>
      <c r="L238" s="7">
        <f t="shared" si="34"/>
        <v>0.10930739348766699</v>
      </c>
      <c r="M238" s="7">
        <f t="shared" si="34"/>
        <v>0.04361557654044153</v>
      </c>
      <c r="N238" s="7">
        <f>N237/395</f>
        <v>1</v>
      </c>
      <c r="O238" s="7">
        <f>O237/369</f>
        <v>0.46883468834688347</v>
      </c>
      <c r="P238" s="7">
        <f>P237/369</f>
        <v>0.5311653116531165</v>
      </c>
      <c r="Q238" s="7">
        <f>Q237/60</f>
        <v>1</v>
      </c>
    </row>
    <row r="239" spans="2:17" ht="4.5" customHeight="1">
      <c r="B239" s="1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9">
      <c r="A240" s="5" t="s">
        <v>105</v>
      </c>
      <c r="B240" s="1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9">
      <c r="B241" s="9" t="s">
        <v>104</v>
      </c>
      <c r="C241" s="3">
        <v>8487</v>
      </c>
      <c r="D241" s="3">
        <v>699</v>
      </c>
      <c r="E241" s="3">
        <v>274</v>
      </c>
      <c r="F241" s="3">
        <v>583</v>
      </c>
      <c r="G241" s="3">
        <v>5715</v>
      </c>
      <c r="H241" s="3">
        <v>422</v>
      </c>
      <c r="I241" s="3">
        <v>804</v>
      </c>
      <c r="J241" s="3">
        <v>6471</v>
      </c>
      <c r="K241" s="3">
        <v>1116</v>
      </c>
      <c r="L241" s="3">
        <v>1254</v>
      </c>
      <c r="M241" s="3">
        <v>1287</v>
      </c>
      <c r="N241" s="3">
        <v>288</v>
      </c>
      <c r="O241" s="3">
        <v>62</v>
      </c>
      <c r="P241" s="3">
        <v>61</v>
      </c>
      <c r="Q241" s="3">
        <v>17</v>
      </c>
    </row>
    <row r="242" spans="2:17" ht="9">
      <c r="B242" s="9" t="s">
        <v>95</v>
      </c>
      <c r="C242" s="3">
        <v>6383</v>
      </c>
      <c r="D242" s="3">
        <v>304</v>
      </c>
      <c r="E242" s="3">
        <v>131</v>
      </c>
      <c r="F242" s="3">
        <v>245</v>
      </c>
      <c r="G242" s="3">
        <v>3707</v>
      </c>
      <c r="H242" s="3">
        <v>163</v>
      </c>
      <c r="I242" s="3">
        <v>452</v>
      </c>
      <c r="J242" s="3">
        <v>3774</v>
      </c>
      <c r="K242" s="3">
        <v>569</v>
      </c>
      <c r="L242" s="3">
        <v>617</v>
      </c>
      <c r="M242" s="3">
        <v>484</v>
      </c>
      <c r="N242" s="3">
        <v>168</v>
      </c>
      <c r="O242" s="3">
        <v>46</v>
      </c>
      <c r="P242" s="3">
        <v>39</v>
      </c>
      <c r="Q242" s="3">
        <v>14</v>
      </c>
    </row>
    <row r="243" spans="1:17" ht="9">
      <c r="A243" s="4" t="s">
        <v>22</v>
      </c>
      <c r="C243" s="3">
        <v>14870</v>
      </c>
      <c r="D243" s="3">
        <v>1003</v>
      </c>
      <c r="E243" s="3">
        <v>405</v>
      </c>
      <c r="F243" s="3">
        <v>828</v>
      </c>
      <c r="G243" s="3">
        <v>9422</v>
      </c>
      <c r="H243" s="3">
        <v>585</v>
      </c>
      <c r="I243" s="3">
        <v>1256</v>
      </c>
      <c r="J243" s="3">
        <v>10245</v>
      </c>
      <c r="K243" s="3">
        <v>1685</v>
      </c>
      <c r="L243" s="3">
        <v>1871</v>
      </c>
      <c r="M243" s="3">
        <v>1771</v>
      </c>
      <c r="N243" s="3">
        <v>456</v>
      </c>
      <c r="O243" s="3">
        <v>108</v>
      </c>
      <c r="P243" s="3">
        <v>100</v>
      </c>
      <c r="Q243" s="3">
        <v>31</v>
      </c>
    </row>
    <row r="244" spans="2:17" s="6" customFormat="1" ht="9">
      <c r="B244" s="10" t="s">
        <v>154</v>
      </c>
      <c r="C244" s="7">
        <f>C243/14870</f>
        <v>1</v>
      </c>
      <c r="D244" s="7">
        <f aca="true" t="shared" si="35" ref="D244:M244">D243/29071</f>
        <v>0.03450173712634584</v>
      </c>
      <c r="E244" s="7">
        <f t="shared" si="35"/>
        <v>0.01393140930824533</v>
      </c>
      <c r="F244" s="7">
        <f t="shared" si="35"/>
        <v>0.028481992363523785</v>
      </c>
      <c r="G244" s="7">
        <f t="shared" si="35"/>
        <v>0.3241030580303395</v>
      </c>
      <c r="H244" s="7">
        <f t="shared" si="35"/>
        <v>0.020123146778576587</v>
      </c>
      <c r="I244" s="7">
        <f t="shared" si="35"/>
        <v>0.043204568126311446</v>
      </c>
      <c r="J244" s="7">
        <f t="shared" si="35"/>
        <v>0.3524130576863541</v>
      </c>
      <c r="K244" s="7">
        <f t="shared" si="35"/>
        <v>0.05796154243060094</v>
      </c>
      <c r="L244" s="7">
        <f t="shared" si="35"/>
        <v>0.06435967114994325</v>
      </c>
      <c r="M244" s="7">
        <f t="shared" si="35"/>
        <v>0.06091981699975921</v>
      </c>
      <c r="N244" s="7">
        <f>N243/456</f>
        <v>1</v>
      </c>
      <c r="O244" s="7">
        <f>O243/208</f>
        <v>0.5192307692307693</v>
      </c>
      <c r="P244" s="7">
        <f>P243/208</f>
        <v>0.4807692307692308</v>
      </c>
      <c r="Q244" s="7">
        <f>Q243/31</f>
        <v>1</v>
      </c>
    </row>
    <row r="245" spans="2:17" ht="4.5" customHeight="1">
      <c r="B245" s="1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9">
      <c r="A246" s="5" t="s">
        <v>106</v>
      </c>
      <c r="B246" s="1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9">
      <c r="B247" s="9" t="s">
        <v>91</v>
      </c>
      <c r="C247" s="3">
        <v>1</v>
      </c>
      <c r="D247" s="3">
        <v>0</v>
      </c>
      <c r="E247" s="3">
        <v>0</v>
      </c>
      <c r="F247" s="3">
        <v>0</v>
      </c>
      <c r="G247" s="3">
        <v>3</v>
      </c>
      <c r="H247" s="3">
        <v>0</v>
      </c>
      <c r="I247" s="3">
        <v>0</v>
      </c>
      <c r="J247" s="3">
        <v>2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</row>
    <row r="248" spans="2:17" ht="9">
      <c r="B248" s="9" t="s">
        <v>104</v>
      </c>
      <c r="C248" s="3">
        <v>3519</v>
      </c>
      <c r="D248" s="3">
        <v>198</v>
      </c>
      <c r="E248" s="3">
        <v>81</v>
      </c>
      <c r="F248" s="3">
        <v>79</v>
      </c>
      <c r="G248" s="3">
        <v>2187</v>
      </c>
      <c r="H248" s="3">
        <v>124</v>
      </c>
      <c r="I248" s="3">
        <v>320</v>
      </c>
      <c r="J248" s="3">
        <v>2279</v>
      </c>
      <c r="K248" s="3">
        <v>240</v>
      </c>
      <c r="L248" s="3">
        <v>473</v>
      </c>
      <c r="M248" s="3">
        <v>282</v>
      </c>
      <c r="N248" s="3">
        <v>84</v>
      </c>
      <c r="O248" s="3">
        <v>19</v>
      </c>
      <c r="P248" s="3">
        <v>32</v>
      </c>
      <c r="Q248" s="3">
        <v>7</v>
      </c>
    </row>
    <row r="249" spans="2:17" ht="9">
      <c r="B249" s="9" t="s">
        <v>102</v>
      </c>
      <c r="C249" s="3">
        <v>29902</v>
      </c>
      <c r="D249" s="3">
        <v>1221</v>
      </c>
      <c r="E249" s="3">
        <v>514</v>
      </c>
      <c r="F249" s="3">
        <v>579</v>
      </c>
      <c r="G249" s="3">
        <v>13987</v>
      </c>
      <c r="H249" s="3">
        <v>841</v>
      </c>
      <c r="I249" s="3">
        <v>2053</v>
      </c>
      <c r="J249" s="3">
        <v>14898</v>
      </c>
      <c r="K249" s="3">
        <v>1631</v>
      </c>
      <c r="L249" s="3">
        <v>3345</v>
      </c>
      <c r="M249" s="3">
        <v>2309</v>
      </c>
      <c r="N249" s="3">
        <v>413</v>
      </c>
      <c r="O249" s="3">
        <v>154</v>
      </c>
      <c r="P249" s="3">
        <v>227</v>
      </c>
      <c r="Q249" s="3">
        <v>46</v>
      </c>
    </row>
    <row r="250" spans="1:17" ht="9">
      <c r="A250" s="4" t="s">
        <v>22</v>
      </c>
      <c r="C250" s="3">
        <v>33422</v>
      </c>
      <c r="D250" s="3">
        <v>1419</v>
      </c>
      <c r="E250" s="3">
        <v>595</v>
      </c>
      <c r="F250" s="3">
        <v>658</v>
      </c>
      <c r="G250" s="3">
        <v>16177</v>
      </c>
      <c r="H250" s="3">
        <v>965</v>
      </c>
      <c r="I250" s="3">
        <v>2373</v>
      </c>
      <c r="J250" s="3">
        <v>17179</v>
      </c>
      <c r="K250" s="3">
        <v>1871</v>
      </c>
      <c r="L250" s="3">
        <v>3818</v>
      </c>
      <c r="M250" s="3">
        <v>2591</v>
      </c>
      <c r="N250" s="3">
        <v>497</v>
      </c>
      <c r="O250" s="3">
        <v>173</v>
      </c>
      <c r="P250" s="3">
        <v>259</v>
      </c>
      <c r="Q250" s="3">
        <v>53</v>
      </c>
    </row>
    <row r="251" spans="2:17" s="6" customFormat="1" ht="9">
      <c r="B251" s="10" t="s">
        <v>154</v>
      </c>
      <c r="C251" s="7">
        <f>C250/33422</f>
        <v>1</v>
      </c>
      <c r="D251" s="7">
        <f aca="true" t="shared" si="36" ref="D251:M251">D250/47646</f>
        <v>0.0297821433068883</v>
      </c>
      <c r="E251" s="7">
        <f t="shared" si="36"/>
        <v>0.012487931830583889</v>
      </c>
      <c r="F251" s="7">
        <f t="shared" si="36"/>
        <v>0.013810183436175126</v>
      </c>
      <c r="G251" s="7">
        <f t="shared" si="36"/>
        <v>0.3395248289468161</v>
      </c>
      <c r="H251" s="7">
        <f t="shared" si="36"/>
        <v>0.02025353649834194</v>
      </c>
      <c r="I251" s="7">
        <f t="shared" si="36"/>
        <v>0.04980481047726987</v>
      </c>
      <c r="J251" s="7">
        <f t="shared" si="36"/>
        <v>0.36055492591193383</v>
      </c>
      <c r="K251" s="7">
        <f t="shared" si="36"/>
        <v>0.03926877387398732</v>
      </c>
      <c r="L251" s="7">
        <f t="shared" si="36"/>
        <v>0.0801326449229736</v>
      </c>
      <c r="M251" s="7">
        <f t="shared" si="36"/>
        <v>0.054380220795030014</v>
      </c>
      <c r="N251" s="7">
        <f>N250/497</f>
        <v>1</v>
      </c>
      <c r="O251" s="7">
        <f>O250/432</f>
        <v>0.40046296296296297</v>
      </c>
      <c r="P251" s="7">
        <f>P250/432</f>
        <v>0.5995370370370371</v>
      </c>
      <c r="Q251" s="7">
        <f>Q250/53</f>
        <v>1</v>
      </c>
    </row>
    <row r="252" spans="2:17" ht="4.5" customHeight="1">
      <c r="B252" s="1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9">
      <c r="A253" s="5" t="s">
        <v>107</v>
      </c>
      <c r="B253" s="1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9">
      <c r="B254" s="9" t="s">
        <v>104</v>
      </c>
      <c r="C254" s="3">
        <v>19587</v>
      </c>
      <c r="D254" s="3">
        <v>950</v>
      </c>
      <c r="E254" s="3">
        <v>420</v>
      </c>
      <c r="F254" s="3">
        <v>347</v>
      </c>
      <c r="G254" s="3">
        <v>12085</v>
      </c>
      <c r="H254" s="3">
        <v>693</v>
      </c>
      <c r="I254" s="3">
        <v>825</v>
      </c>
      <c r="J254" s="3">
        <v>10614</v>
      </c>
      <c r="K254" s="3">
        <v>1545</v>
      </c>
      <c r="L254" s="3">
        <v>3165</v>
      </c>
      <c r="M254" s="3">
        <v>1564</v>
      </c>
      <c r="N254" s="3">
        <v>372</v>
      </c>
      <c r="O254" s="3">
        <v>89</v>
      </c>
      <c r="P254" s="3">
        <v>162</v>
      </c>
      <c r="Q254" s="3">
        <v>29</v>
      </c>
    </row>
    <row r="255" spans="2:17" ht="9">
      <c r="B255" s="9" t="s">
        <v>102</v>
      </c>
      <c r="C255" s="3">
        <v>4902</v>
      </c>
      <c r="D255" s="3">
        <v>286</v>
      </c>
      <c r="E255" s="3">
        <v>97</v>
      </c>
      <c r="F255" s="3">
        <v>102</v>
      </c>
      <c r="G255" s="3">
        <v>2886</v>
      </c>
      <c r="H255" s="3">
        <v>137</v>
      </c>
      <c r="I255" s="3">
        <v>209</v>
      </c>
      <c r="J255" s="3">
        <v>2748</v>
      </c>
      <c r="K255" s="3">
        <v>350</v>
      </c>
      <c r="L255" s="3">
        <v>503</v>
      </c>
      <c r="M255" s="3">
        <v>476</v>
      </c>
      <c r="N255" s="3">
        <v>113</v>
      </c>
      <c r="O255" s="3">
        <v>32</v>
      </c>
      <c r="P255" s="3">
        <v>46</v>
      </c>
      <c r="Q255" s="3">
        <v>9</v>
      </c>
    </row>
    <row r="256" spans="1:17" ht="9">
      <c r="A256" s="4" t="s">
        <v>22</v>
      </c>
      <c r="C256" s="3">
        <v>24489</v>
      </c>
      <c r="D256" s="3">
        <v>1236</v>
      </c>
      <c r="E256" s="3">
        <v>517</v>
      </c>
      <c r="F256" s="3">
        <v>449</v>
      </c>
      <c r="G256" s="3">
        <v>14971</v>
      </c>
      <c r="H256" s="3">
        <v>830</v>
      </c>
      <c r="I256" s="3">
        <v>1034</v>
      </c>
      <c r="J256" s="3">
        <v>13362</v>
      </c>
      <c r="K256" s="3">
        <v>1895</v>
      </c>
      <c r="L256" s="3">
        <v>3668</v>
      </c>
      <c r="M256" s="3">
        <v>2040</v>
      </c>
      <c r="N256" s="3">
        <v>485</v>
      </c>
      <c r="O256" s="3">
        <v>121</v>
      </c>
      <c r="P256" s="3">
        <v>208</v>
      </c>
      <c r="Q256" s="3">
        <v>38</v>
      </c>
    </row>
    <row r="257" spans="2:17" s="6" customFormat="1" ht="9">
      <c r="B257" s="10" t="s">
        <v>154</v>
      </c>
      <c r="C257" s="7">
        <f>C256/24489</f>
        <v>1</v>
      </c>
      <c r="D257" s="7">
        <f aca="true" t="shared" si="37" ref="D257:M257">D256/40002</f>
        <v>0.03089845507724614</v>
      </c>
      <c r="E257" s="7">
        <f t="shared" si="37"/>
        <v>0.012924353782310884</v>
      </c>
      <c r="F257" s="7">
        <f t="shared" si="37"/>
        <v>0.011224438778061096</v>
      </c>
      <c r="G257" s="7">
        <f t="shared" si="37"/>
        <v>0.3742562871856407</v>
      </c>
      <c r="H257" s="7">
        <f t="shared" si="37"/>
        <v>0.020748962551872405</v>
      </c>
      <c r="I257" s="7">
        <f t="shared" si="37"/>
        <v>0.025848707564621768</v>
      </c>
      <c r="J257" s="7">
        <f t="shared" si="37"/>
        <v>0.3340332983350833</v>
      </c>
      <c r="K257" s="7">
        <f t="shared" si="37"/>
        <v>0.047372631368431575</v>
      </c>
      <c r="L257" s="7">
        <f t="shared" si="37"/>
        <v>0.09169541522923853</v>
      </c>
      <c r="M257" s="7">
        <f t="shared" si="37"/>
        <v>0.050997450127493626</v>
      </c>
      <c r="N257" s="7">
        <f>N256/485</f>
        <v>1</v>
      </c>
      <c r="O257" s="7">
        <f>O256/329</f>
        <v>0.3677811550151976</v>
      </c>
      <c r="P257" s="7">
        <f>P256/329</f>
        <v>0.6322188449848024</v>
      </c>
      <c r="Q257" s="7">
        <f>Q256/38</f>
        <v>1</v>
      </c>
    </row>
    <row r="258" spans="2:17" ht="4.5" customHeight="1">
      <c r="B258" s="1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9">
      <c r="A259" s="5" t="s">
        <v>108</v>
      </c>
      <c r="B259" s="1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9">
      <c r="B260" s="9" t="s">
        <v>104</v>
      </c>
      <c r="C260" s="3">
        <v>11190</v>
      </c>
      <c r="D260" s="3">
        <v>249</v>
      </c>
      <c r="E260" s="3">
        <v>102</v>
      </c>
      <c r="F260" s="3">
        <v>96</v>
      </c>
      <c r="G260" s="3">
        <v>2244</v>
      </c>
      <c r="H260" s="3">
        <v>130</v>
      </c>
      <c r="I260" s="3">
        <v>157</v>
      </c>
      <c r="J260" s="3">
        <v>2124</v>
      </c>
      <c r="K260" s="3">
        <v>400</v>
      </c>
      <c r="L260" s="3">
        <v>497</v>
      </c>
      <c r="M260" s="3">
        <v>428</v>
      </c>
      <c r="N260" s="3">
        <v>195</v>
      </c>
      <c r="O260" s="3">
        <v>31</v>
      </c>
      <c r="P260" s="3">
        <v>52</v>
      </c>
      <c r="Q260" s="3">
        <v>45</v>
      </c>
    </row>
    <row r="261" spans="1:17" ht="9">
      <c r="A261" s="4" t="s">
        <v>22</v>
      </c>
      <c r="C261" s="3">
        <v>11190</v>
      </c>
      <c r="D261" s="3">
        <v>249</v>
      </c>
      <c r="E261" s="3">
        <v>102</v>
      </c>
      <c r="F261" s="3">
        <v>96</v>
      </c>
      <c r="G261" s="3">
        <v>2244</v>
      </c>
      <c r="H261" s="3">
        <v>130</v>
      </c>
      <c r="I261" s="3">
        <v>157</v>
      </c>
      <c r="J261" s="3">
        <v>2124</v>
      </c>
      <c r="K261" s="3">
        <v>400</v>
      </c>
      <c r="L261" s="3">
        <v>497</v>
      </c>
      <c r="M261" s="3">
        <v>428</v>
      </c>
      <c r="N261" s="3">
        <v>195</v>
      </c>
      <c r="O261" s="3">
        <v>31</v>
      </c>
      <c r="P261" s="3">
        <v>52</v>
      </c>
      <c r="Q261" s="3">
        <v>45</v>
      </c>
    </row>
    <row r="262" spans="2:17" s="6" customFormat="1" ht="9">
      <c r="B262" s="10" t="s">
        <v>154</v>
      </c>
      <c r="C262" s="7">
        <f>C261/11190</f>
        <v>1</v>
      </c>
      <c r="D262" s="7">
        <f aca="true" t="shared" si="38" ref="D262:M262">D261/6427</f>
        <v>0.03874280379648359</v>
      </c>
      <c r="E262" s="7">
        <f t="shared" si="38"/>
        <v>0.0158705461334993</v>
      </c>
      <c r="F262" s="7">
        <f t="shared" si="38"/>
        <v>0.014936984596234635</v>
      </c>
      <c r="G262" s="7">
        <f t="shared" si="38"/>
        <v>0.3491520149369846</v>
      </c>
      <c r="H262" s="7">
        <f t="shared" si="38"/>
        <v>0.0202271666407344</v>
      </c>
      <c r="I262" s="7">
        <f t="shared" si="38"/>
        <v>0.024428193558425394</v>
      </c>
      <c r="J262" s="7">
        <f t="shared" si="38"/>
        <v>0.3304807841916913</v>
      </c>
      <c r="K262" s="7">
        <f t="shared" si="38"/>
        <v>0.062237435817644314</v>
      </c>
      <c r="L262" s="7">
        <f t="shared" si="38"/>
        <v>0.07733001400342306</v>
      </c>
      <c r="M262" s="7">
        <f t="shared" si="38"/>
        <v>0.06659405632487941</v>
      </c>
      <c r="N262" s="7">
        <f>N261/195</f>
        <v>1</v>
      </c>
      <c r="O262" s="7">
        <f>O261/83</f>
        <v>0.37349397590361444</v>
      </c>
      <c r="P262" s="7">
        <f>P261/83</f>
        <v>0.6265060240963856</v>
      </c>
      <c r="Q262" s="7">
        <f>Q261/45</f>
        <v>1</v>
      </c>
    </row>
    <row r="263" spans="2:17" ht="4.5" customHeight="1">
      <c r="B263" s="1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9">
      <c r="A264" s="5" t="s">
        <v>109</v>
      </c>
      <c r="B264" s="1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9">
      <c r="B265" s="9" t="s">
        <v>104</v>
      </c>
      <c r="C265" s="3">
        <v>18992</v>
      </c>
      <c r="D265" s="3">
        <v>703</v>
      </c>
      <c r="E265" s="3">
        <v>382</v>
      </c>
      <c r="F265" s="3">
        <v>283</v>
      </c>
      <c r="G265" s="3">
        <v>5819</v>
      </c>
      <c r="H265" s="3">
        <v>667</v>
      </c>
      <c r="I265" s="3">
        <v>438</v>
      </c>
      <c r="J265" s="3">
        <v>5594</v>
      </c>
      <c r="K265" s="3">
        <v>1138</v>
      </c>
      <c r="L265" s="3">
        <v>1734</v>
      </c>
      <c r="M265" s="3">
        <v>1329</v>
      </c>
      <c r="N265" s="3">
        <v>287</v>
      </c>
      <c r="O265" s="3">
        <v>101</v>
      </c>
      <c r="P265" s="3">
        <v>104</v>
      </c>
      <c r="Q265" s="3">
        <v>59</v>
      </c>
    </row>
    <row r="266" spans="1:17" ht="9">
      <c r="A266" s="4" t="s">
        <v>22</v>
      </c>
      <c r="C266" s="3">
        <v>18992</v>
      </c>
      <c r="D266" s="3">
        <v>703</v>
      </c>
      <c r="E266" s="3">
        <v>382</v>
      </c>
      <c r="F266" s="3">
        <v>283</v>
      </c>
      <c r="G266" s="3">
        <v>5819</v>
      </c>
      <c r="H266" s="3">
        <v>667</v>
      </c>
      <c r="I266" s="3">
        <v>438</v>
      </c>
      <c r="J266" s="3">
        <v>5594</v>
      </c>
      <c r="K266" s="3">
        <v>1138</v>
      </c>
      <c r="L266" s="3">
        <v>1734</v>
      </c>
      <c r="M266" s="3">
        <v>1329</v>
      </c>
      <c r="N266" s="3">
        <v>287</v>
      </c>
      <c r="O266" s="3">
        <v>101</v>
      </c>
      <c r="P266" s="3">
        <v>104</v>
      </c>
      <c r="Q266" s="3">
        <v>59</v>
      </c>
    </row>
    <row r="267" spans="2:17" s="6" customFormat="1" ht="9">
      <c r="B267" s="10" t="s">
        <v>154</v>
      </c>
      <c r="C267" s="7">
        <f>C266/18992</f>
        <v>1</v>
      </c>
      <c r="D267" s="7">
        <f aca="true" t="shared" si="39" ref="D267:M267">D266/18087</f>
        <v>0.038867695029579256</v>
      </c>
      <c r="E267" s="7">
        <f t="shared" si="39"/>
        <v>0.021120141538121303</v>
      </c>
      <c r="F267" s="7">
        <f t="shared" si="39"/>
        <v>0.01564659700337259</v>
      </c>
      <c r="G267" s="7">
        <f t="shared" si="39"/>
        <v>0.32172278432023</v>
      </c>
      <c r="H267" s="7">
        <f t="shared" si="39"/>
        <v>0.03687731519876154</v>
      </c>
      <c r="I267" s="7">
        <f t="shared" si="39"/>
        <v>0.024216287941615525</v>
      </c>
      <c r="J267" s="7">
        <f t="shared" si="39"/>
        <v>0.3092829103776193</v>
      </c>
      <c r="K267" s="7">
        <f t="shared" si="39"/>
        <v>0.0629181179852933</v>
      </c>
      <c r="L267" s="7">
        <f t="shared" si="39"/>
        <v>0.09586996185105325</v>
      </c>
      <c r="M267" s="7">
        <f t="shared" si="39"/>
        <v>0.07347818875435395</v>
      </c>
      <c r="N267" s="7">
        <f>N266/287</f>
        <v>1</v>
      </c>
      <c r="O267" s="7">
        <f>O266/205</f>
        <v>0.4926829268292683</v>
      </c>
      <c r="P267" s="7">
        <f>P266/205</f>
        <v>0.5073170731707317</v>
      </c>
      <c r="Q267" s="7">
        <f>Q266/59</f>
        <v>1</v>
      </c>
    </row>
    <row r="268" spans="2:17" ht="4.5" customHeight="1">
      <c r="B268" s="1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9">
      <c r="A269" s="5" t="s">
        <v>110</v>
      </c>
      <c r="B269" s="1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9">
      <c r="B270" s="9" t="s">
        <v>104</v>
      </c>
      <c r="C270" s="3">
        <v>27652</v>
      </c>
      <c r="D270" s="3">
        <v>782</v>
      </c>
      <c r="E270" s="3">
        <v>256</v>
      </c>
      <c r="F270" s="3">
        <v>260</v>
      </c>
      <c r="G270" s="3">
        <v>6592</v>
      </c>
      <c r="H270" s="3">
        <v>1142</v>
      </c>
      <c r="I270" s="3">
        <v>457</v>
      </c>
      <c r="J270" s="3">
        <v>6536</v>
      </c>
      <c r="K270" s="3">
        <v>1083</v>
      </c>
      <c r="L270" s="3">
        <v>1904</v>
      </c>
      <c r="M270" s="3">
        <v>1064</v>
      </c>
      <c r="N270" s="3">
        <v>227</v>
      </c>
      <c r="O270" s="3">
        <v>92</v>
      </c>
      <c r="P270" s="3">
        <v>161</v>
      </c>
      <c r="Q270" s="3">
        <v>41</v>
      </c>
    </row>
    <row r="271" spans="2:17" ht="9">
      <c r="B271" s="9" t="s">
        <v>102</v>
      </c>
      <c r="C271" s="3">
        <v>8934</v>
      </c>
      <c r="D271" s="3">
        <v>320</v>
      </c>
      <c r="E271" s="3">
        <v>102</v>
      </c>
      <c r="F271" s="3">
        <v>100</v>
      </c>
      <c r="G271" s="3">
        <v>2171</v>
      </c>
      <c r="H271" s="3">
        <v>393</v>
      </c>
      <c r="I271" s="3">
        <v>237</v>
      </c>
      <c r="J271" s="3">
        <v>2378</v>
      </c>
      <c r="K271" s="3">
        <v>447</v>
      </c>
      <c r="L271" s="3">
        <v>585</v>
      </c>
      <c r="M271" s="3">
        <v>540</v>
      </c>
      <c r="N271" s="3">
        <v>128</v>
      </c>
      <c r="O271" s="3">
        <v>28</v>
      </c>
      <c r="P271" s="3">
        <v>48</v>
      </c>
      <c r="Q271" s="3">
        <v>17</v>
      </c>
    </row>
    <row r="272" spans="1:17" ht="9">
      <c r="A272" s="4" t="s">
        <v>22</v>
      </c>
      <c r="C272" s="3">
        <v>36586</v>
      </c>
      <c r="D272" s="3">
        <v>1102</v>
      </c>
      <c r="E272" s="3">
        <v>358</v>
      </c>
      <c r="F272" s="3">
        <v>360</v>
      </c>
      <c r="G272" s="3">
        <v>8763</v>
      </c>
      <c r="H272" s="3">
        <v>1535</v>
      </c>
      <c r="I272" s="3">
        <v>694</v>
      </c>
      <c r="J272" s="3">
        <v>8914</v>
      </c>
      <c r="K272" s="3">
        <v>1530</v>
      </c>
      <c r="L272" s="3">
        <v>2489</v>
      </c>
      <c r="M272" s="3">
        <v>1604</v>
      </c>
      <c r="N272" s="3">
        <v>355</v>
      </c>
      <c r="O272" s="3">
        <v>120</v>
      </c>
      <c r="P272" s="3">
        <v>209</v>
      </c>
      <c r="Q272" s="3">
        <v>58</v>
      </c>
    </row>
    <row r="273" spans="2:17" s="6" customFormat="1" ht="9">
      <c r="B273" s="10" t="s">
        <v>154</v>
      </c>
      <c r="C273" s="7">
        <f>C272/36586</f>
        <v>1</v>
      </c>
      <c r="D273" s="7">
        <f aca="true" t="shared" si="40" ref="D273:M273">D272/27349</f>
        <v>0.04029397784196863</v>
      </c>
      <c r="E273" s="7">
        <f t="shared" si="40"/>
        <v>0.013090058137409046</v>
      </c>
      <c r="F273" s="7">
        <f t="shared" si="40"/>
        <v>0.013163186953819152</v>
      </c>
      <c r="G273" s="7">
        <f t="shared" si="40"/>
        <v>0.3204139091008812</v>
      </c>
      <c r="H273" s="7">
        <f t="shared" si="40"/>
        <v>0.056126366594756665</v>
      </c>
      <c r="I273" s="7">
        <f t="shared" si="40"/>
        <v>0.02537569929430692</v>
      </c>
      <c r="J273" s="7">
        <f t="shared" si="40"/>
        <v>0.32593513473984426</v>
      </c>
      <c r="K273" s="7">
        <f t="shared" si="40"/>
        <v>0.0559435445537314</v>
      </c>
      <c r="L273" s="7">
        <f t="shared" si="40"/>
        <v>0.09100881202237741</v>
      </c>
      <c r="M273" s="7">
        <f t="shared" si="40"/>
        <v>0.058649310760905335</v>
      </c>
      <c r="N273" s="7">
        <f>N272/355</f>
        <v>1</v>
      </c>
      <c r="O273" s="7">
        <f>O272/329</f>
        <v>0.364741641337386</v>
      </c>
      <c r="P273" s="7">
        <f>P272/329</f>
        <v>0.6352583586626139</v>
      </c>
      <c r="Q273" s="7">
        <f>Q272/58</f>
        <v>1</v>
      </c>
    </row>
    <row r="274" spans="2:17" ht="4.5" customHeight="1">
      <c r="B274" s="1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9">
      <c r="A275" s="5" t="s">
        <v>111</v>
      </c>
      <c r="B275" s="1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9">
      <c r="B276" s="9" t="s">
        <v>104</v>
      </c>
      <c r="C276" s="3">
        <v>41400</v>
      </c>
      <c r="D276" s="3">
        <v>777</v>
      </c>
      <c r="E276" s="3">
        <v>190</v>
      </c>
      <c r="F276" s="3">
        <v>227</v>
      </c>
      <c r="G276" s="3">
        <v>4985</v>
      </c>
      <c r="H276" s="3">
        <v>447</v>
      </c>
      <c r="I276" s="3">
        <v>298</v>
      </c>
      <c r="J276" s="3">
        <v>6897</v>
      </c>
      <c r="K276" s="3">
        <v>943</v>
      </c>
      <c r="L276" s="3">
        <v>1526</v>
      </c>
      <c r="M276" s="3">
        <v>955</v>
      </c>
      <c r="N276" s="3">
        <v>233</v>
      </c>
      <c r="O276" s="3">
        <v>107</v>
      </c>
      <c r="P276" s="3">
        <v>172</v>
      </c>
      <c r="Q276" s="3">
        <v>42</v>
      </c>
    </row>
    <row r="277" spans="1:17" ht="9">
      <c r="A277" s="4" t="s">
        <v>22</v>
      </c>
      <c r="C277" s="3">
        <v>41400</v>
      </c>
      <c r="D277" s="3">
        <v>777</v>
      </c>
      <c r="E277" s="3">
        <v>190</v>
      </c>
      <c r="F277" s="3">
        <v>227</v>
      </c>
      <c r="G277" s="3">
        <v>4985</v>
      </c>
      <c r="H277" s="3">
        <v>447</v>
      </c>
      <c r="I277" s="3">
        <v>298</v>
      </c>
      <c r="J277" s="3">
        <v>6897</v>
      </c>
      <c r="K277" s="3">
        <v>943</v>
      </c>
      <c r="L277" s="3">
        <v>1526</v>
      </c>
      <c r="M277" s="3">
        <v>955</v>
      </c>
      <c r="N277" s="3">
        <v>233</v>
      </c>
      <c r="O277" s="3">
        <v>107</v>
      </c>
      <c r="P277" s="3">
        <v>172</v>
      </c>
      <c r="Q277" s="3">
        <v>42</v>
      </c>
    </row>
    <row r="278" spans="2:17" s="6" customFormat="1" ht="9">
      <c r="B278" s="10" t="s">
        <v>154</v>
      </c>
      <c r="C278" s="7">
        <f>C277/41400</f>
        <v>1</v>
      </c>
      <c r="D278" s="7">
        <f aca="true" t="shared" si="41" ref="D278:M278">D277/17245</f>
        <v>0.04505653812699333</v>
      </c>
      <c r="E278" s="7">
        <f t="shared" si="41"/>
        <v>0.011017686285879966</v>
      </c>
      <c r="F278" s="7">
        <f t="shared" si="41"/>
        <v>0.013163235720498696</v>
      </c>
      <c r="G278" s="7">
        <f t="shared" si="41"/>
        <v>0.28906929544795595</v>
      </c>
      <c r="H278" s="7">
        <f t="shared" si="41"/>
        <v>0.02592055668309655</v>
      </c>
      <c r="I278" s="7">
        <f t="shared" si="41"/>
        <v>0.017280371122064365</v>
      </c>
      <c r="J278" s="7">
        <f t="shared" si="41"/>
        <v>0.39994201217744274</v>
      </c>
      <c r="K278" s="7">
        <f t="shared" si="41"/>
        <v>0.05468251667149898</v>
      </c>
      <c r="L278" s="7">
        <f t="shared" si="41"/>
        <v>0.0884894172223833</v>
      </c>
      <c r="M278" s="7">
        <f t="shared" si="41"/>
        <v>0.05537837054218614</v>
      </c>
      <c r="N278" s="7">
        <f>N277/233</f>
        <v>1</v>
      </c>
      <c r="O278" s="7">
        <f>O277/279</f>
        <v>0.3835125448028674</v>
      </c>
      <c r="P278" s="7">
        <f>P277/279</f>
        <v>0.6164874551971327</v>
      </c>
      <c r="Q278" s="7">
        <f>Q277/42</f>
        <v>1</v>
      </c>
    </row>
    <row r="279" spans="2:17" ht="4.5" customHeight="1">
      <c r="B279" s="1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9">
      <c r="A280" s="5" t="s">
        <v>112</v>
      </c>
      <c r="B280" s="1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9">
      <c r="B281" s="9" t="s">
        <v>104</v>
      </c>
      <c r="C281" s="3">
        <v>19660</v>
      </c>
      <c r="D281" s="3">
        <v>614</v>
      </c>
      <c r="E281" s="3">
        <v>167</v>
      </c>
      <c r="F281" s="3">
        <v>311</v>
      </c>
      <c r="G281" s="3">
        <v>5882</v>
      </c>
      <c r="H281" s="3">
        <v>345</v>
      </c>
      <c r="I281" s="3">
        <v>422</v>
      </c>
      <c r="J281" s="3">
        <v>6711</v>
      </c>
      <c r="K281" s="3">
        <v>1016</v>
      </c>
      <c r="L281" s="3">
        <v>2253</v>
      </c>
      <c r="M281" s="3">
        <v>1929</v>
      </c>
      <c r="N281" s="3">
        <v>336</v>
      </c>
      <c r="O281" s="3">
        <v>88</v>
      </c>
      <c r="P281" s="3">
        <v>158</v>
      </c>
      <c r="Q281" s="3">
        <v>43</v>
      </c>
    </row>
    <row r="282" spans="1:17" ht="9">
      <c r="A282" s="4" t="s">
        <v>22</v>
      </c>
      <c r="C282" s="3">
        <v>19660</v>
      </c>
      <c r="D282" s="3">
        <v>614</v>
      </c>
      <c r="E282" s="3">
        <v>167</v>
      </c>
      <c r="F282" s="3">
        <v>311</v>
      </c>
      <c r="G282" s="3">
        <v>5882</v>
      </c>
      <c r="H282" s="3">
        <v>345</v>
      </c>
      <c r="I282" s="3">
        <v>422</v>
      </c>
      <c r="J282" s="3">
        <v>6711</v>
      </c>
      <c r="K282" s="3">
        <v>1016</v>
      </c>
      <c r="L282" s="3">
        <v>2253</v>
      </c>
      <c r="M282" s="3">
        <v>1929</v>
      </c>
      <c r="N282" s="3">
        <v>336</v>
      </c>
      <c r="O282" s="3">
        <v>88</v>
      </c>
      <c r="P282" s="3">
        <v>158</v>
      </c>
      <c r="Q282" s="3">
        <v>43</v>
      </c>
    </row>
    <row r="283" spans="2:17" s="6" customFormat="1" ht="9">
      <c r="B283" s="10" t="s">
        <v>154</v>
      </c>
      <c r="C283" s="7">
        <f>C282/19660</f>
        <v>1</v>
      </c>
      <c r="D283" s="7">
        <f aca="true" t="shared" si="42" ref="D283:M283">D282/19650</f>
        <v>0.031246819338422393</v>
      </c>
      <c r="E283" s="7">
        <f t="shared" si="42"/>
        <v>0.008498727735368956</v>
      </c>
      <c r="F283" s="7">
        <f t="shared" si="42"/>
        <v>0.015826972010178117</v>
      </c>
      <c r="G283" s="7">
        <f t="shared" si="42"/>
        <v>0.2993384223918575</v>
      </c>
      <c r="H283" s="7">
        <f t="shared" si="42"/>
        <v>0.017557251908396947</v>
      </c>
      <c r="I283" s="7">
        <f t="shared" si="42"/>
        <v>0.021475826972010177</v>
      </c>
      <c r="J283" s="7">
        <f t="shared" si="42"/>
        <v>0.3415267175572519</v>
      </c>
      <c r="K283" s="7">
        <f t="shared" si="42"/>
        <v>0.051704834605597966</v>
      </c>
      <c r="L283" s="7">
        <f t="shared" si="42"/>
        <v>0.11465648854961832</v>
      </c>
      <c r="M283" s="7">
        <f t="shared" si="42"/>
        <v>0.09816793893129772</v>
      </c>
      <c r="N283" s="7">
        <f>N282/336</f>
        <v>1</v>
      </c>
      <c r="O283" s="7">
        <f>O282/246</f>
        <v>0.35772357723577236</v>
      </c>
      <c r="P283" s="7">
        <f>P282/246</f>
        <v>0.6422764227642277</v>
      </c>
      <c r="Q283" s="7">
        <f>Q282/43</f>
        <v>1</v>
      </c>
    </row>
    <row r="284" spans="2:17" ht="4.5" customHeight="1">
      <c r="B284" s="1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9">
      <c r="A285" s="5" t="s">
        <v>113</v>
      </c>
      <c r="B285" s="1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9">
      <c r="B286" s="9" t="s">
        <v>104</v>
      </c>
      <c r="C286" s="3">
        <v>25113</v>
      </c>
      <c r="D286" s="3">
        <v>591</v>
      </c>
      <c r="E286" s="3">
        <v>324</v>
      </c>
      <c r="F286" s="3">
        <v>368</v>
      </c>
      <c r="G286" s="3">
        <v>8784</v>
      </c>
      <c r="H286" s="3">
        <v>461</v>
      </c>
      <c r="I286" s="3">
        <v>842</v>
      </c>
      <c r="J286" s="3">
        <v>11211</v>
      </c>
      <c r="K286" s="3">
        <v>1713</v>
      </c>
      <c r="L286" s="3">
        <v>2972</v>
      </c>
      <c r="M286" s="3">
        <v>1269</v>
      </c>
      <c r="N286" s="3">
        <v>334</v>
      </c>
      <c r="O286" s="3">
        <v>101</v>
      </c>
      <c r="P286" s="3">
        <v>149</v>
      </c>
      <c r="Q286" s="3">
        <v>66</v>
      </c>
    </row>
    <row r="287" spans="1:17" ht="9">
      <c r="A287" s="4" t="s">
        <v>22</v>
      </c>
      <c r="C287" s="3">
        <v>25113</v>
      </c>
      <c r="D287" s="3">
        <v>591</v>
      </c>
      <c r="E287" s="3">
        <v>324</v>
      </c>
      <c r="F287" s="3">
        <v>368</v>
      </c>
      <c r="G287" s="3">
        <v>8784</v>
      </c>
      <c r="H287" s="3">
        <v>461</v>
      </c>
      <c r="I287" s="3">
        <v>842</v>
      </c>
      <c r="J287" s="3">
        <v>11211</v>
      </c>
      <c r="K287" s="3">
        <v>1713</v>
      </c>
      <c r="L287" s="3">
        <v>2972</v>
      </c>
      <c r="M287" s="3">
        <v>1269</v>
      </c>
      <c r="N287" s="3">
        <v>334</v>
      </c>
      <c r="O287" s="3">
        <v>101</v>
      </c>
      <c r="P287" s="3">
        <v>149</v>
      </c>
      <c r="Q287" s="3">
        <v>66</v>
      </c>
    </row>
    <row r="288" spans="2:17" s="6" customFormat="1" ht="9">
      <c r="B288" s="10" t="s">
        <v>154</v>
      </c>
      <c r="C288" s="7">
        <f>C287/25113</f>
        <v>1</v>
      </c>
      <c r="D288" s="7">
        <f aca="true" t="shared" si="43" ref="D288:M288">D287/28535</f>
        <v>0.020711407043981077</v>
      </c>
      <c r="E288" s="7">
        <f t="shared" si="43"/>
        <v>0.011354476958121605</v>
      </c>
      <c r="F288" s="7">
        <f t="shared" si="43"/>
        <v>0.012896442964780095</v>
      </c>
      <c r="G288" s="7">
        <f t="shared" si="43"/>
        <v>0.30783248642018574</v>
      </c>
      <c r="H288" s="7">
        <f t="shared" si="43"/>
        <v>0.016155598387944628</v>
      </c>
      <c r="I288" s="7">
        <f t="shared" si="43"/>
        <v>0.02950762221832837</v>
      </c>
      <c r="J288" s="7">
        <f t="shared" si="43"/>
        <v>0.39288592956018925</v>
      </c>
      <c r="K288" s="7">
        <f t="shared" si="43"/>
        <v>0.06003154021377256</v>
      </c>
      <c r="L288" s="7">
        <f t="shared" si="43"/>
        <v>0.10415279481338707</v>
      </c>
      <c r="M288" s="7">
        <f t="shared" si="43"/>
        <v>0.04447170141930962</v>
      </c>
      <c r="N288" s="7">
        <f>N287/334</f>
        <v>1</v>
      </c>
      <c r="O288" s="7">
        <f>O287/250</f>
        <v>0.404</v>
      </c>
      <c r="P288" s="7">
        <f>P287/250</f>
        <v>0.596</v>
      </c>
      <c r="Q288" s="7">
        <f>Q287/66</f>
        <v>1</v>
      </c>
    </row>
    <row r="289" spans="2:17" ht="4.5" customHeight="1">
      <c r="B289" s="1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9">
      <c r="A290" s="5" t="s">
        <v>114</v>
      </c>
      <c r="B290" s="1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9">
      <c r="B291" s="9" t="s">
        <v>104</v>
      </c>
      <c r="C291" s="3">
        <v>14730</v>
      </c>
      <c r="D291" s="3">
        <v>111</v>
      </c>
      <c r="E291" s="3">
        <v>57</v>
      </c>
      <c r="F291" s="3">
        <v>151</v>
      </c>
      <c r="G291" s="3">
        <v>1499</v>
      </c>
      <c r="H291" s="3">
        <v>108</v>
      </c>
      <c r="I291" s="3">
        <v>194</v>
      </c>
      <c r="J291" s="3">
        <v>1298</v>
      </c>
      <c r="K291" s="3">
        <v>245</v>
      </c>
      <c r="L291" s="3">
        <v>531</v>
      </c>
      <c r="M291" s="3">
        <v>212</v>
      </c>
      <c r="N291" s="3">
        <v>206</v>
      </c>
      <c r="O291" s="3">
        <v>42</v>
      </c>
      <c r="P291" s="3">
        <v>73</v>
      </c>
      <c r="Q291" s="3">
        <v>72</v>
      </c>
    </row>
    <row r="292" spans="1:17" ht="9">
      <c r="A292" s="4" t="s">
        <v>22</v>
      </c>
      <c r="C292" s="3">
        <v>14730</v>
      </c>
      <c r="D292" s="3">
        <v>111</v>
      </c>
      <c r="E292" s="3">
        <v>57</v>
      </c>
      <c r="F292" s="3">
        <v>151</v>
      </c>
      <c r="G292" s="3">
        <v>1499</v>
      </c>
      <c r="H292" s="3">
        <v>108</v>
      </c>
      <c r="I292" s="3">
        <v>194</v>
      </c>
      <c r="J292" s="3">
        <v>1298</v>
      </c>
      <c r="K292" s="3">
        <v>245</v>
      </c>
      <c r="L292" s="3">
        <v>531</v>
      </c>
      <c r="M292" s="3">
        <v>212</v>
      </c>
      <c r="N292" s="3">
        <v>206</v>
      </c>
      <c r="O292" s="3">
        <v>42</v>
      </c>
      <c r="P292" s="3">
        <v>73</v>
      </c>
      <c r="Q292" s="3">
        <v>72</v>
      </c>
    </row>
    <row r="293" spans="2:17" s="6" customFormat="1" ht="9">
      <c r="B293" s="10" t="s">
        <v>154</v>
      </c>
      <c r="C293" s="7">
        <f>C292/14730</f>
        <v>1</v>
      </c>
      <c r="D293" s="7">
        <f aca="true" t="shared" si="44" ref="D293:M293">D292/4406</f>
        <v>0.025192918747162958</v>
      </c>
      <c r="E293" s="7">
        <f t="shared" si="44"/>
        <v>0.012936904221516114</v>
      </c>
      <c r="F293" s="7">
        <f t="shared" si="44"/>
        <v>0.034271448025419884</v>
      </c>
      <c r="G293" s="7">
        <f t="shared" si="44"/>
        <v>0.34021788470267816</v>
      </c>
      <c r="H293" s="7">
        <f t="shared" si="44"/>
        <v>0.02451202905129369</v>
      </c>
      <c r="I293" s="7">
        <f t="shared" si="44"/>
        <v>0.04403086699954607</v>
      </c>
      <c r="J293" s="7">
        <f t="shared" si="44"/>
        <v>0.29459827507943714</v>
      </c>
      <c r="K293" s="7">
        <f t="shared" si="44"/>
        <v>0.05560599182932365</v>
      </c>
      <c r="L293" s="7">
        <f t="shared" si="44"/>
        <v>0.12051747616886065</v>
      </c>
      <c r="M293" s="7">
        <f t="shared" si="44"/>
        <v>0.048116205174761686</v>
      </c>
      <c r="N293" s="7">
        <f>N292/206</f>
        <v>1</v>
      </c>
      <c r="O293" s="7">
        <f>O292/115</f>
        <v>0.3652173913043478</v>
      </c>
      <c r="P293" s="7">
        <f>P292/115</f>
        <v>0.6347826086956522</v>
      </c>
      <c r="Q293" s="7">
        <f>Q292/72</f>
        <v>1</v>
      </c>
    </row>
    <row r="294" spans="2:17" ht="4.5" customHeight="1">
      <c r="B294" s="1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9">
      <c r="A295" s="5" t="s">
        <v>115</v>
      </c>
      <c r="B295" s="1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9">
      <c r="B296" s="9" t="s">
        <v>104</v>
      </c>
      <c r="C296" s="3">
        <v>9602</v>
      </c>
      <c r="D296" s="3">
        <v>103</v>
      </c>
      <c r="E296" s="3">
        <v>32</v>
      </c>
      <c r="F296" s="3">
        <v>128</v>
      </c>
      <c r="G296" s="3">
        <v>924</v>
      </c>
      <c r="H296" s="3">
        <v>42</v>
      </c>
      <c r="I296" s="3">
        <v>95</v>
      </c>
      <c r="J296" s="3">
        <v>457</v>
      </c>
      <c r="K296" s="3">
        <v>71</v>
      </c>
      <c r="L296" s="3">
        <v>108</v>
      </c>
      <c r="M296" s="3">
        <v>118</v>
      </c>
      <c r="N296" s="3">
        <v>141</v>
      </c>
      <c r="O296" s="3">
        <v>18</v>
      </c>
      <c r="P296" s="3">
        <v>16</v>
      </c>
      <c r="Q296" s="3">
        <v>55</v>
      </c>
    </row>
    <row r="297" spans="1:17" ht="9">
      <c r="A297" s="4" t="s">
        <v>22</v>
      </c>
      <c r="C297" s="3">
        <v>9602</v>
      </c>
      <c r="D297" s="3">
        <v>103</v>
      </c>
      <c r="E297" s="3">
        <v>32</v>
      </c>
      <c r="F297" s="3">
        <v>128</v>
      </c>
      <c r="G297" s="3">
        <v>924</v>
      </c>
      <c r="H297" s="3">
        <v>42</v>
      </c>
      <c r="I297" s="3">
        <v>95</v>
      </c>
      <c r="J297" s="3">
        <v>457</v>
      </c>
      <c r="K297" s="3">
        <v>71</v>
      </c>
      <c r="L297" s="3">
        <v>108</v>
      </c>
      <c r="M297" s="3">
        <v>118</v>
      </c>
      <c r="N297" s="3">
        <v>141</v>
      </c>
      <c r="O297" s="3">
        <v>18</v>
      </c>
      <c r="P297" s="3">
        <v>16</v>
      </c>
      <c r="Q297" s="3">
        <v>55</v>
      </c>
    </row>
    <row r="298" spans="2:17" s="6" customFormat="1" ht="9">
      <c r="B298" s="10" t="s">
        <v>154</v>
      </c>
      <c r="C298" s="7">
        <f>C297/9602</f>
        <v>1</v>
      </c>
      <c r="D298" s="7">
        <f aca="true" t="shared" si="45" ref="D298:M298">D297/2078</f>
        <v>0.04956689124157844</v>
      </c>
      <c r="E298" s="7">
        <f t="shared" si="45"/>
        <v>0.015399422521655439</v>
      </c>
      <c r="F298" s="7">
        <f t="shared" si="45"/>
        <v>0.061597690086621755</v>
      </c>
      <c r="G298" s="7">
        <f t="shared" si="45"/>
        <v>0.44465832531280075</v>
      </c>
      <c r="H298" s="7">
        <f t="shared" si="45"/>
        <v>0.02021174205967276</v>
      </c>
      <c r="I298" s="7">
        <f t="shared" si="45"/>
        <v>0.04571703561116458</v>
      </c>
      <c r="J298" s="7">
        <f t="shared" si="45"/>
        <v>0.21992300288739172</v>
      </c>
      <c r="K298" s="7">
        <f t="shared" si="45"/>
        <v>0.034167468719923</v>
      </c>
      <c r="L298" s="7">
        <f t="shared" si="45"/>
        <v>0.0519730510105871</v>
      </c>
      <c r="M298" s="7">
        <f t="shared" si="45"/>
        <v>0.05678537054860443</v>
      </c>
      <c r="N298" s="7">
        <f>N297/141</f>
        <v>1</v>
      </c>
      <c r="O298" s="7">
        <f>O297/34</f>
        <v>0.5294117647058824</v>
      </c>
      <c r="P298" s="7">
        <f>P297/34</f>
        <v>0.47058823529411764</v>
      </c>
      <c r="Q298" s="7">
        <f>Q297/55</f>
        <v>1</v>
      </c>
    </row>
    <row r="299" spans="2:17" ht="4.5" customHeight="1">
      <c r="B299" s="1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9">
      <c r="A300" s="5" t="s">
        <v>116</v>
      </c>
      <c r="B300" s="1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9">
      <c r="B301" s="9" t="s">
        <v>104</v>
      </c>
      <c r="C301" s="3">
        <v>41345</v>
      </c>
      <c r="D301" s="3">
        <v>215</v>
      </c>
      <c r="E301" s="3">
        <v>115</v>
      </c>
      <c r="F301" s="3">
        <v>177</v>
      </c>
      <c r="G301" s="3">
        <v>2617</v>
      </c>
      <c r="H301" s="3">
        <v>197</v>
      </c>
      <c r="I301" s="3">
        <v>423</v>
      </c>
      <c r="J301" s="3">
        <v>2927</v>
      </c>
      <c r="K301" s="3">
        <v>392</v>
      </c>
      <c r="L301" s="3">
        <v>695</v>
      </c>
      <c r="M301" s="3">
        <v>381</v>
      </c>
      <c r="N301" s="3">
        <v>236</v>
      </c>
      <c r="O301" s="3">
        <v>48</v>
      </c>
      <c r="P301" s="3">
        <v>93</v>
      </c>
      <c r="Q301" s="3">
        <v>52</v>
      </c>
    </row>
    <row r="302" spans="1:17" ht="9">
      <c r="A302" s="4" t="s">
        <v>22</v>
      </c>
      <c r="C302" s="3">
        <v>41345</v>
      </c>
      <c r="D302" s="3">
        <v>215</v>
      </c>
      <c r="E302" s="3">
        <v>115</v>
      </c>
      <c r="F302" s="3">
        <v>177</v>
      </c>
      <c r="G302" s="3">
        <v>2617</v>
      </c>
      <c r="H302" s="3">
        <v>197</v>
      </c>
      <c r="I302" s="3">
        <v>423</v>
      </c>
      <c r="J302" s="3">
        <v>2927</v>
      </c>
      <c r="K302" s="3">
        <v>392</v>
      </c>
      <c r="L302" s="3">
        <v>695</v>
      </c>
      <c r="M302" s="3">
        <v>381</v>
      </c>
      <c r="N302" s="3">
        <v>236</v>
      </c>
      <c r="O302" s="3">
        <v>48</v>
      </c>
      <c r="P302" s="3">
        <v>93</v>
      </c>
      <c r="Q302" s="3">
        <v>52</v>
      </c>
    </row>
    <row r="303" spans="2:17" s="6" customFormat="1" ht="9">
      <c r="B303" s="10" t="s">
        <v>154</v>
      </c>
      <c r="C303" s="7">
        <f>C302/41345</f>
        <v>1</v>
      </c>
      <c r="D303" s="7">
        <f aca="true" t="shared" si="46" ref="D303:M303">D302/8139</f>
        <v>0.026416021624278165</v>
      </c>
      <c r="E303" s="7">
        <f t="shared" si="46"/>
        <v>0.014129499938567392</v>
      </c>
      <c r="F303" s="7">
        <f t="shared" si="46"/>
        <v>0.021747143383708072</v>
      </c>
      <c r="G303" s="7">
        <f t="shared" si="46"/>
        <v>0.321538272515051</v>
      </c>
      <c r="H303" s="7">
        <f t="shared" si="46"/>
        <v>0.024204447720850227</v>
      </c>
      <c r="I303" s="7">
        <f t="shared" si="46"/>
        <v>0.05197198673055658</v>
      </c>
      <c r="J303" s="7">
        <f t="shared" si="46"/>
        <v>0.3596264897407544</v>
      </c>
      <c r="K303" s="7">
        <f t="shared" si="46"/>
        <v>0.04816316500798624</v>
      </c>
      <c r="L303" s="7">
        <f t="shared" si="46"/>
        <v>0.08539132571568989</v>
      </c>
      <c r="M303" s="7">
        <f t="shared" si="46"/>
        <v>0.04681164762255805</v>
      </c>
      <c r="N303" s="7">
        <f>N302/236</f>
        <v>1</v>
      </c>
      <c r="O303" s="7">
        <f>O302/141</f>
        <v>0.3404255319148936</v>
      </c>
      <c r="P303" s="7">
        <f>P302/141</f>
        <v>0.6595744680851063</v>
      </c>
      <c r="Q303" s="7">
        <f>Q302/52</f>
        <v>1</v>
      </c>
    </row>
    <row r="304" spans="2:17" ht="4.5" customHeight="1">
      <c r="B304" s="1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9">
      <c r="A305" s="5" t="s">
        <v>117</v>
      </c>
      <c r="B305" s="1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9">
      <c r="B306" s="9" t="s">
        <v>104</v>
      </c>
      <c r="C306" s="3">
        <v>18485</v>
      </c>
      <c r="D306" s="3">
        <v>70</v>
      </c>
      <c r="E306" s="3">
        <v>38</v>
      </c>
      <c r="F306" s="3">
        <v>39</v>
      </c>
      <c r="G306" s="3">
        <v>780</v>
      </c>
      <c r="H306" s="3">
        <v>52</v>
      </c>
      <c r="I306" s="3">
        <v>88</v>
      </c>
      <c r="J306" s="3">
        <v>574</v>
      </c>
      <c r="K306" s="3">
        <v>103</v>
      </c>
      <c r="L306" s="3">
        <v>106</v>
      </c>
      <c r="M306" s="3">
        <v>104</v>
      </c>
      <c r="N306" s="3">
        <v>85</v>
      </c>
      <c r="O306" s="3">
        <v>12</v>
      </c>
      <c r="P306" s="3">
        <v>15</v>
      </c>
      <c r="Q306" s="3">
        <v>46</v>
      </c>
    </row>
    <row r="307" spans="1:17" ht="9">
      <c r="A307" s="4" t="s">
        <v>22</v>
      </c>
      <c r="C307" s="3">
        <v>18485</v>
      </c>
      <c r="D307" s="3">
        <v>70</v>
      </c>
      <c r="E307" s="3">
        <v>38</v>
      </c>
      <c r="F307" s="3">
        <v>39</v>
      </c>
      <c r="G307" s="3">
        <v>780</v>
      </c>
      <c r="H307" s="3">
        <v>52</v>
      </c>
      <c r="I307" s="3">
        <v>88</v>
      </c>
      <c r="J307" s="3">
        <v>574</v>
      </c>
      <c r="K307" s="3">
        <v>103</v>
      </c>
      <c r="L307" s="3">
        <v>106</v>
      </c>
      <c r="M307" s="3">
        <v>104</v>
      </c>
      <c r="N307" s="3">
        <v>85</v>
      </c>
      <c r="O307" s="3">
        <v>12</v>
      </c>
      <c r="P307" s="3">
        <v>15</v>
      </c>
      <c r="Q307" s="3">
        <v>46</v>
      </c>
    </row>
    <row r="308" spans="2:17" s="6" customFormat="1" ht="9">
      <c r="B308" s="10" t="s">
        <v>154</v>
      </c>
      <c r="C308" s="7">
        <f>C307/18485</f>
        <v>1</v>
      </c>
      <c r="D308" s="7">
        <f aca="true" t="shared" si="47" ref="D308:M308">D307/1954</f>
        <v>0.03582395087001024</v>
      </c>
      <c r="E308" s="7">
        <f t="shared" si="47"/>
        <v>0.019447287615148412</v>
      </c>
      <c r="F308" s="7">
        <f t="shared" si="47"/>
        <v>0.019959058341862845</v>
      </c>
      <c r="G308" s="7">
        <f t="shared" si="47"/>
        <v>0.3991811668372569</v>
      </c>
      <c r="H308" s="7">
        <f t="shared" si="47"/>
        <v>0.02661207778915046</v>
      </c>
      <c r="I308" s="7">
        <f t="shared" si="47"/>
        <v>0.04503582395087001</v>
      </c>
      <c r="J308" s="7">
        <f t="shared" si="47"/>
        <v>0.2937563971340839</v>
      </c>
      <c r="K308" s="7">
        <f t="shared" si="47"/>
        <v>0.05271238485158649</v>
      </c>
      <c r="L308" s="7">
        <f t="shared" si="47"/>
        <v>0.05424769703172978</v>
      </c>
      <c r="M308" s="7">
        <f t="shared" si="47"/>
        <v>0.05322415557830092</v>
      </c>
      <c r="N308" s="7">
        <f>N307/85</f>
        <v>1</v>
      </c>
      <c r="O308" s="7">
        <f>O307/27</f>
        <v>0.4444444444444444</v>
      </c>
      <c r="P308" s="7">
        <f>P307/27</f>
        <v>0.5555555555555556</v>
      </c>
      <c r="Q308" s="7">
        <f>Q307/46</f>
        <v>1</v>
      </c>
    </row>
    <row r="309" spans="2:17" ht="4.5" customHeight="1">
      <c r="B309" s="1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9">
      <c r="A310" s="5" t="s">
        <v>118</v>
      </c>
      <c r="B310" s="1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9">
      <c r="B311" s="9" t="s">
        <v>104</v>
      </c>
      <c r="C311" s="3">
        <v>12966</v>
      </c>
      <c r="D311" s="3">
        <v>356</v>
      </c>
      <c r="E311" s="3">
        <v>155</v>
      </c>
      <c r="F311" s="3">
        <v>161</v>
      </c>
      <c r="G311" s="3">
        <v>3499</v>
      </c>
      <c r="H311" s="3">
        <v>224</v>
      </c>
      <c r="I311" s="3">
        <v>446</v>
      </c>
      <c r="J311" s="3">
        <v>4994</v>
      </c>
      <c r="K311" s="3">
        <v>525</v>
      </c>
      <c r="L311" s="3">
        <v>1048</v>
      </c>
      <c r="M311" s="3">
        <v>616</v>
      </c>
      <c r="N311" s="3">
        <v>232</v>
      </c>
      <c r="O311" s="3">
        <v>32</v>
      </c>
      <c r="P311" s="3">
        <v>37</v>
      </c>
      <c r="Q311" s="3">
        <v>52</v>
      </c>
    </row>
    <row r="312" spans="1:17" ht="9">
      <c r="A312" s="4" t="s">
        <v>22</v>
      </c>
      <c r="C312" s="3">
        <v>12966</v>
      </c>
      <c r="D312" s="3">
        <v>356</v>
      </c>
      <c r="E312" s="3">
        <v>155</v>
      </c>
      <c r="F312" s="3">
        <v>161</v>
      </c>
      <c r="G312" s="3">
        <v>3499</v>
      </c>
      <c r="H312" s="3">
        <v>224</v>
      </c>
      <c r="I312" s="3">
        <v>446</v>
      </c>
      <c r="J312" s="3">
        <v>4994</v>
      </c>
      <c r="K312" s="3">
        <v>525</v>
      </c>
      <c r="L312" s="3">
        <v>1048</v>
      </c>
      <c r="M312" s="3">
        <v>616</v>
      </c>
      <c r="N312" s="3">
        <v>232</v>
      </c>
      <c r="O312" s="3">
        <v>32</v>
      </c>
      <c r="P312" s="3">
        <v>37</v>
      </c>
      <c r="Q312" s="3">
        <v>52</v>
      </c>
    </row>
    <row r="313" spans="2:17" s="6" customFormat="1" ht="9">
      <c r="B313" s="10" t="s">
        <v>154</v>
      </c>
      <c r="C313" s="7">
        <f>C312/12966</f>
        <v>1</v>
      </c>
      <c r="D313" s="7">
        <f aca="true" t="shared" si="48" ref="D313:M313">D312/12024</f>
        <v>0.029607451763140388</v>
      </c>
      <c r="E313" s="7">
        <f t="shared" si="48"/>
        <v>0.012890884896872921</v>
      </c>
      <c r="F313" s="7">
        <f t="shared" si="48"/>
        <v>0.013389886892880905</v>
      </c>
      <c r="G313" s="7">
        <f t="shared" si="48"/>
        <v>0.29100133067198936</v>
      </c>
      <c r="H313" s="7">
        <f t="shared" si="48"/>
        <v>0.018629407850964737</v>
      </c>
      <c r="I313" s="7">
        <f t="shared" si="48"/>
        <v>0.03709248170326015</v>
      </c>
      <c r="J313" s="7">
        <f t="shared" si="48"/>
        <v>0.415335994677312</v>
      </c>
      <c r="K313" s="7">
        <f t="shared" si="48"/>
        <v>0.043662674650698605</v>
      </c>
      <c r="L313" s="7">
        <f t="shared" si="48"/>
        <v>0.08715901530272788</v>
      </c>
      <c r="M313" s="7">
        <f t="shared" si="48"/>
        <v>0.05123087159015303</v>
      </c>
      <c r="N313" s="7">
        <f>N312/232</f>
        <v>1</v>
      </c>
      <c r="O313" s="7">
        <f>O312/69</f>
        <v>0.463768115942029</v>
      </c>
      <c r="P313" s="7">
        <f>P312/69</f>
        <v>0.5362318840579711</v>
      </c>
      <c r="Q313" s="7">
        <f>Q312/52</f>
        <v>1</v>
      </c>
    </row>
    <row r="314" spans="2:17" ht="4.5" customHeight="1">
      <c r="B314" s="1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9">
      <c r="A315" s="5" t="s">
        <v>119</v>
      </c>
      <c r="B315" s="1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9">
      <c r="B316" s="9" t="s">
        <v>104</v>
      </c>
      <c r="C316" s="3">
        <v>11408</v>
      </c>
      <c r="D316" s="3">
        <v>242</v>
      </c>
      <c r="E316" s="3">
        <v>157</v>
      </c>
      <c r="F316" s="3">
        <v>121</v>
      </c>
      <c r="G316" s="3">
        <v>1943</v>
      </c>
      <c r="H316" s="3">
        <v>275</v>
      </c>
      <c r="I316" s="3">
        <v>184</v>
      </c>
      <c r="J316" s="3">
        <v>1894</v>
      </c>
      <c r="K316" s="3">
        <v>290</v>
      </c>
      <c r="L316" s="3">
        <v>407</v>
      </c>
      <c r="M316" s="3">
        <v>390</v>
      </c>
      <c r="N316" s="3">
        <v>175</v>
      </c>
      <c r="O316" s="3">
        <v>25</v>
      </c>
      <c r="P316" s="3">
        <v>18</v>
      </c>
      <c r="Q316" s="3">
        <v>59</v>
      </c>
    </row>
    <row r="317" spans="1:17" ht="9">
      <c r="A317" s="4" t="s">
        <v>22</v>
      </c>
      <c r="C317" s="3">
        <v>11408</v>
      </c>
      <c r="D317" s="3">
        <v>242</v>
      </c>
      <c r="E317" s="3">
        <v>157</v>
      </c>
      <c r="F317" s="3">
        <v>121</v>
      </c>
      <c r="G317" s="3">
        <v>1943</v>
      </c>
      <c r="H317" s="3">
        <v>275</v>
      </c>
      <c r="I317" s="3">
        <v>184</v>
      </c>
      <c r="J317" s="3">
        <v>1894</v>
      </c>
      <c r="K317" s="3">
        <v>290</v>
      </c>
      <c r="L317" s="3">
        <v>407</v>
      </c>
      <c r="M317" s="3">
        <v>390</v>
      </c>
      <c r="N317" s="3">
        <v>175</v>
      </c>
      <c r="O317" s="3">
        <v>25</v>
      </c>
      <c r="P317" s="3">
        <v>18</v>
      </c>
      <c r="Q317" s="3">
        <v>59</v>
      </c>
    </row>
    <row r="318" spans="2:17" s="6" customFormat="1" ht="9">
      <c r="B318" s="10" t="s">
        <v>154</v>
      </c>
      <c r="C318" s="7">
        <f>C317/11408</f>
        <v>1</v>
      </c>
      <c r="D318" s="7">
        <f aca="true" t="shared" si="49" ref="D318:M318">D317/5903</f>
        <v>0.0409961036760969</v>
      </c>
      <c r="E318" s="7">
        <f t="shared" si="49"/>
        <v>0.026596645773335592</v>
      </c>
      <c r="F318" s="7">
        <f t="shared" si="49"/>
        <v>0.02049805183804845</v>
      </c>
      <c r="G318" s="7">
        <f t="shared" si="49"/>
        <v>0.32915466711841435</v>
      </c>
      <c r="H318" s="7">
        <f t="shared" si="49"/>
        <v>0.046586481450110115</v>
      </c>
      <c r="I318" s="7">
        <f t="shared" si="49"/>
        <v>0.03117059122480095</v>
      </c>
      <c r="J318" s="7">
        <f t="shared" si="49"/>
        <v>0.3208538031509402</v>
      </c>
      <c r="K318" s="7">
        <f t="shared" si="49"/>
        <v>0.049127562256479754</v>
      </c>
      <c r="L318" s="7">
        <f t="shared" si="49"/>
        <v>0.06894799254616296</v>
      </c>
      <c r="M318" s="7">
        <f t="shared" si="49"/>
        <v>0.06606810096561071</v>
      </c>
      <c r="N318" s="7">
        <f>N317/175</f>
        <v>1</v>
      </c>
      <c r="O318" s="7">
        <f>O317/43</f>
        <v>0.5813953488372093</v>
      </c>
      <c r="P318" s="7">
        <f>P317/43</f>
        <v>0.4186046511627907</v>
      </c>
      <c r="Q318" s="7">
        <f>Q317/59</f>
        <v>1</v>
      </c>
    </row>
    <row r="319" spans="2:17" ht="4.5" customHeight="1">
      <c r="B319" s="1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9">
      <c r="A320" s="5" t="s">
        <v>120</v>
      </c>
      <c r="B320" s="1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9">
      <c r="B321" s="9" t="s">
        <v>104</v>
      </c>
      <c r="C321" s="3">
        <v>19310</v>
      </c>
      <c r="D321" s="3">
        <v>397</v>
      </c>
      <c r="E321" s="3">
        <v>135</v>
      </c>
      <c r="F321" s="3">
        <v>113</v>
      </c>
      <c r="G321" s="3">
        <v>2589</v>
      </c>
      <c r="H321" s="3">
        <v>406</v>
      </c>
      <c r="I321" s="3">
        <v>269</v>
      </c>
      <c r="J321" s="3">
        <v>2808</v>
      </c>
      <c r="K321" s="3">
        <v>520</v>
      </c>
      <c r="L321" s="3">
        <v>800</v>
      </c>
      <c r="M321" s="3">
        <v>573</v>
      </c>
      <c r="N321" s="3">
        <v>249</v>
      </c>
      <c r="O321" s="3">
        <v>32</v>
      </c>
      <c r="P321" s="3">
        <v>53</v>
      </c>
      <c r="Q321" s="3">
        <v>29</v>
      </c>
    </row>
    <row r="322" spans="1:17" ht="9">
      <c r="A322" s="4" t="s">
        <v>22</v>
      </c>
      <c r="C322" s="3">
        <v>19310</v>
      </c>
      <c r="D322" s="3">
        <v>397</v>
      </c>
      <c r="E322" s="3">
        <v>135</v>
      </c>
      <c r="F322" s="3">
        <v>113</v>
      </c>
      <c r="G322" s="3">
        <v>2589</v>
      </c>
      <c r="H322" s="3">
        <v>406</v>
      </c>
      <c r="I322" s="3">
        <v>269</v>
      </c>
      <c r="J322" s="3">
        <v>2808</v>
      </c>
      <c r="K322" s="3">
        <v>520</v>
      </c>
      <c r="L322" s="3">
        <v>800</v>
      </c>
      <c r="M322" s="3">
        <v>573</v>
      </c>
      <c r="N322" s="3">
        <v>249</v>
      </c>
      <c r="O322" s="3">
        <v>32</v>
      </c>
      <c r="P322" s="3">
        <v>53</v>
      </c>
      <c r="Q322" s="3">
        <v>29</v>
      </c>
    </row>
    <row r="323" spans="2:17" s="6" customFormat="1" ht="9">
      <c r="B323" s="10" t="s">
        <v>154</v>
      </c>
      <c r="C323" s="7">
        <f>C322/19310</f>
        <v>1</v>
      </c>
      <c r="D323" s="7">
        <f aca="true" t="shared" si="50" ref="D323:M323">D322/8610</f>
        <v>0.04610917537746806</v>
      </c>
      <c r="E323" s="7">
        <f t="shared" si="50"/>
        <v>0.0156794425087108</v>
      </c>
      <c r="F323" s="7">
        <f t="shared" si="50"/>
        <v>0.013124274099883856</v>
      </c>
      <c r="G323" s="7">
        <f t="shared" si="50"/>
        <v>0.30069686411149826</v>
      </c>
      <c r="H323" s="7">
        <f t="shared" si="50"/>
        <v>0.04715447154471545</v>
      </c>
      <c r="I323" s="7">
        <f t="shared" si="50"/>
        <v>0.03124274099883856</v>
      </c>
      <c r="J323" s="7">
        <f t="shared" si="50"/>
        <v>0.32613240418118467</v>
      </c>
      <c r="K323" s="7">
        <f t="shared" si="50"/>
        <v>0.06039488966318235</v>
      </c>
      <c r="L323" s="7">
        <f t="shared" si="50"/>
        <v>0.09291521486643438</v>
      </c>
      <c r="M323" s="7">
        <f t="shared" si="50"/>
        <v>0.06655052264808363</v>
      </c>
      <c r="N323" s="7">
        <f>N322/249</f>
        <v>1</v>
      </c>
      <c r="O323" s="7">
        <f>O322/85</f>
        <v>0.3764705882352941</v>
      </c>
      <c r="P323" s="7">
        <f>P322/85</f>
        <v>0.6235294117647059</v>
      </c>
      <c r="Q323" s="7">
        <f>Q322/29</f>
        <v>1</v>
      </c>
    </row>
    <row r="324" spans="2:17" ht="4.5" customHeight="1">
      <c r="B324" s="1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9">
      <c r="A325" s="5" t="s">
        <v>121</v>
      </c>
      <c r="B325" s="1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9">
      <c r="B326" s="9" t="s">
        <v>104</v>
      </c>
      <c r="C326" s="3">
        <v>12650</v>
      </c>
      <c r="D326" s="3">
        <v>144</v>
      </c>
      <c r="E326" s="3">
        <v>26</v>
      </c>
      <c r="F326" s="3">
        <v>46</v>
      </c>
      <c r="G326" s="3">
        <v>575</v>
      </c>
      <c r="H326" s="3">
        <v>46</v>
      </c>
      <c r="I326" s="3">
        <v>70</v>
      </c>
      <c r="J326" s="3">
        <v>438</v>
      </c>
      <c r="K326" s="3">
        <v>122</v>
      </c>
      <c r="L326" s="3">
        <v>121</v>
      </c>
      <c r="M326" s="3">
        <v>132</v>
      </c>
      <c r="N326" s="3">
        <v>107</v>
      </c>
      <c r="O326" s="3">
        <v>12</v>
      </c>
      <c r="P326" s="3">
        <v>13</v>
      </c>
      <c r="Q326" s="3">
        <v>37</v>
      </c>
    </row>
    <row r="327" spans="1:17" ht="9">
      <c r="A327" s="4" t="s">
        <v>22</v>
      </c>
      <c r="C327" s="3">
        <v>12650</v>
      </c>
      <c r="D327" s="3">
        <v>144</v>
      </c>
      <c r="E327" s="3">
        <v>26</v>
      </c>
      <c r="F327" s="3">
        <v>46</v>
      </c>
      <c r="G327" s="3">
        <v>575</v>
      </c>
      <c r="H327" s="3">
        <v>46</v>
      </c>
      <c r="I327" s="3">
        <v>70</v>
      </c>
      <c r="J327" s="3">
        <v>438</v>
      </c>
      <c r="K327" s="3">
        <v>122</v>
      </c>
      <c r="L327" s="3">
        <v>121</v>
      </c>
      <c r="M327" s="3">
        <v>132</v>
      </c>
      <c r="N327" s="3">
        <v>107</v>
      </c>
      <c r="O327" s="3">
        <v>12</v>
      </c>
      <c r="P327" s="3">
        <v>13</v>
      </c>
      <c r="Q327" s="3">
        <v>37</v>
      </c>
    </row>
    <row r="328" spans="2:17" s="6" customFormat="1" ht="9">
      <c r="B328" s="10" t="s">
        <v>154</v>
      </c>
      <c r="C328" s="7">
        <f>C327/12650</f>
        <v>1</v>
      </c>
      <c r="D328" s="7">
        <f aca="true" t="shared" si="51" ref="D328:M328">D327/1720</f>
        <v>0.08372093023255814</v>
      </c>
      <c r="E328" s="7">
        <f t="shared" si="51"/>
        <v>0.015116279069767442</v>
      </c>
      <c r="F328" s="7">
        <f t="shared" si="51"/>
        <v>0.026744186046511628</v>
      </c>
      <c r="G328" s="7">
        <f t="shared" si="51"/>
        <v>0.33430232558139533</v>
      </c>
      <c r="H328" s="7">
        <f t="shared" si="51"/>
        <v>0.026744186046511628</v>
      </c>
      <c r="I328" s="7">
        <f t="shared" si="51"/>
        <v>0.040697674418604654</v>
      </c>
      <c r="J328" s="7">
        <f t="shared" si="51"/>
        <v>0.25465116279069766</v>
      </c>
      <c r="K328" s="7">
        <f t="shared" si="51"/>
        <v>0.07093023255813953</v>
      </c>
      <c r="L328" s="7">
        <f t="shared" si="51"/>
        <v>0.07034883720930232</v>
      </c>
      <c r="M328" s="7">
        <f t="shared" si="51"/>
        <v>0.07674418604651163</v>
      </c>
      <c r="N328" s="7">
        <f>N327/107</f>
        <v>1</v>
      </c>
      <c r="O328" s="7">
        <f>O327/25</f>
        <v>0.48</v>
      </c>
      <c r="P328" s="7">
        <f>P327/25</f>
        <v>0.52</v>
      </c>
      <c r="Q328" s="7">
        <f>Q327/37</f>
        <v>1</v>
      </c>
    </row>
    <row r="329" spans="2:17" ht="4.5" customHeight="1">
      <c r="B329" s="1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9">
      <c r="A330" s="5" t="s">
        <v>122</v>
      </c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9">
      <c r="B331" s="9" t="s">
        <v>104</v>
      </c>
      <c r="C331" s="3">
        <v>28248</v>
      </c>
      <c r="D331" s="3">
        <v>908</v>
      </c>
      <c r="E331" s="3">
        <v>320</v>
      </c>
      <c r="F331" s="3">
        <v>478</v>
      </c>
      <c r="G331" s="3">
        <v>9155</v>
      </c>
      <c r="H331" s="3">
        <v>643</v>
      </c>
      <c r="I331" s="3">
        <v>856</v>
      </c>
      <c r="J331" s="3">
        <v>10793</v>
      </c>
      <c r="K331" s="3">
        <v>1963</v>
      </c>
      <c r="L331" s="3">
        <v>2813</v>
      </c>
      <c r="M331" s="3">
        <v>2979</v>
      </c>
      <c r="N331" s="3">
        <v>464</v>
      </c>
      <c r="O331" s="3">
        <v>150</v>
      </c>
      <c r="P331" s="3">
        <v>262</v>
      </c>
      <c r="Q331" s="3">
        <v>85</v>
      </c>
    </row>
    <row r="332" spans="1:17" ht="9">
      <c r="A332" s="4" t="s">
        <v>22</v>
      </c>
      <c r="C332" s="3">
        <v>28248</v>
      </c>
      <c r="D332" s="3">
        <v>908</v>
      </c>
      <c r="E332" s="3">
        <v>320</v>
      </c>
      <c r="F332" s="3">
        <v>478</v>
      </c>
      <c r="G332" s="3">
        <v>9155</v>
      </c>
      <c r="H332" s="3">
        <v>643</v>
      </c>
      <c r="I332" s="3">
        <v>856</v>
      </c>
      <c r="J332" s="3">
        <v>10793</v>
      </c>
      <c r="K332" s="3">
        <v>1963</v>
      </c>
      <c r="L332" s="3">
        <v>2813</v>
      </c>
      <c r="M332" s="3">
        <v>2979</v>
      </c>
      <c r="N332" s="3">
        <v>464</v>
      </c>
      <c r="O332" s="3">
        <v>150</v>
      </c>
      <c r="P332" s="3">
        <v>262</v>
      </c>
      <c r="Q332" s="3">
        <v>85</v>
      </c>
    </row>
    <row r="333" spans="2:17" s="6" customFormat="1" ht="9">
      <c r="B333" s="10" t="s">
        <v>154</v>
      </c>
      <c r="C333" s="7">
        <f>C332/28248</f>
        <v>1</v>
      </c>
      <c r="D333" s="7">
        <f aca="true" t="shared" si="52" ref="D333:M333">D332/30908</f>
        <v>0.029377507441439108</v>
      </c>
      <c r="E333" s="7">
        <f t="shared" si="52"/>
        <v>0.010353306587291316</v>
      </c>
      <c r="F333" s="7">
        <f t="shared" si="52"/>
        <v>0.015465251714766403</v>
      </c>
      <c r="G333" s="7">
        <f t="shared" si="52"/>
        <v>0.2962016306457875</v>
      </c>
      <c r="H333" s="7">
        <f t="shared" si="52"/>
        <v>0.02080367542383849</v>
      </c>
      <c r="I333" s="7">
        <f t="shared" si="52"/>
        <v>0.027695095121004272</v>
      </c>
      <c r="J333" s="7">
        <f t="shared" si="52"/>
        <v>0.3491976187394849</v>
      </c>
      <c r="K333" s="7">
        <f t="shared" si="52"/>
        <v>0.06351106509641517</v>
      </c>
      <c r="L333" s="7">
        <f t="shared" si="52"/>
        <v>0.09101203571890773</v>
      </c>
      <c r="M333" s="7">
        <f t="shared" si="52"/>
        <v>0.09638281351106509</v>
      </c>
      <c r="N333" s="7">
        <f>N332/464</f>
        <v>1</v>
      </c>
      <c r="O333" s="7">
        <f>O332/412</f>
        <v>0.3640776699029126</v>
      </c>
      <c r="P333" s="7">
        <f>P332/412</f>
        <v>0.6359223300970874</v>
      </c>
      <c r="Q333" s="7">
        <f>Q332/85</f>
        <v>1</v>
      </c>
    </row>
    <row r="334" spans="2:17" ht="4.5" customHeight="1">
      <c r="B334" s="1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9">
      <c r="A335" s="5" t="s">
        <v>123</v>
      </c>
      <c r="B335" s="1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9">
      <c r="B336" s="9" t="s">
        <v>104</v>
      </c>
      <c r="C336" s="3">
        <v>23547</v>
      </c>
      <c r="D336" s="3">
        <v>774</v>
      </c>
      <c r="E336" s="3">
        <v>388</v>
      </c>
      <c r="F336" s="3">
        <v>408</v>
      </c>
      <c r="G336" s="3">
        <v>9358</v>
      </c>
      <c r="H336" s="3">
        <v>655</v>
      </c>
      <c r="I336" s="3">
        <v>856</v>
      </c>
      <c r="J336" s="3">
        <v>12877</v>
      </c>
      <c r="K336" s="3">
        <v>2123</v>
      </c>
      <c r="L336" s="3">
        <v>2729</v>
      </c>
      <c r="M336" s="3">
        <v>1645</v>
      </c>
      <c r="N336" s="3">
        <v>355</v>
      </c>
      <c r="O336" s="3">
        <v>116</v>
      </c>
      <c r="P336" s="3">
        <v>205</v>
      </c>
      <c r="Q336" s="3">
        <v>59</v>
      </c>
    </row>
    <row r="337" spans="1:17" ht="9">
      <c r="A337" s="4" t="s">
        <v>22</v>
      </c>
      <c r="C337" s="3">
        <v>23547</v>
      </c>
      <c r="D337" s="3">
        <v>774</v>
      </c>
      <c r="E337" s="3">
        <v>388</v>
      </c>
      <c r="F337" s="3">
        <v>408</v>
      </c>
      <c r="G337" s="3">
        <v>9358</v>
      </c>
      <c r="H337" s="3">
        <v>655</v>
      </c>
      <c r="I337" s="3">
        <v>856</v>
      </c>
      <c r="J337" s="3">
        <v>12877</v>
      </c>
      <c r="K337" s="3">
        <v>2123</v>
      </c>
      <c r="L337" s="3">
        <v>2729</v>
      </c>
      <c r="M337" s="3">
        <v>1645</v>
      </c>
      <c r="N337" s="3">
        <v>355</v>
      </c>
      <c r="O337" s="3">
        <v>116</v>
      </c>
      <c r="P337" s="3">
        <v>205</v>
      </c>
      <c r="Q337" s="3">
        <v>59</v>
      </c>
    </row>
    <row r="338" spans="2:17" s="6" customFormat="1" ht="9">
      <c r="B338" s="10" t="s">
        <v>154</v>
      </c>
      <c r="C338" s="7">
        <f>C337/23547</f>
        <v>1</v>
      </c>
      <c r="D338" s="7">
        <f aca="true" t="shared" si="53" ref="D338:M338">D337/31813</f>
        <v>0.02432967654732342</v>
      </c>
      <c r="E338" s="7">
        <f t="shared" si="53"/>
        <v>0.012196271964291327</v>
      </c>
      <c r="F338" s="7">
        <f t="shared" si="53"/>
        <v>0.012824945776883664</v>
      </c>
      <c r="G338" s="7">
        <f t="shared" si="53"/>
        <v>0.29415647691195423</v>
      </c>
      <c r="H338" s="7">
        <f t="shared" si="53"/>
        <v>0.02058906736239902</v>
      </c>
      <c r="I338" s="7">
        <f t="shared" si="53"/>
        <v>0.026907239178952002</v>
      </c>
      <c r="J338" s="7">
        <f t="shared" si="53"/>
        <v>0.40477163423757584</v>
      </c>
      <c r="K338" s="7">
        <f t="shared" si="53"/>
        <v>0.06673372520667652</v>
      </c>
      <c r="L338" s="7">
        <f t="shared" si="53"/>
        <v>0.0857825417282243</v>
      </c>
      <c r="M338" s="7">
        <f t="shared" si="53"/>
        <v>0.05170842108571967</v>
      </c>
      <c r="N338" s="7">
        <f>N337/355</f>
        <v>1</v>
      </c>
      <c r="O338" s="7">
        <f>O337/321</f>
        <v>0.3613707165109034</v>
      </c>
      <c r="P338" s="7">
        <f>P337/321</f>
        <v>0.6386292834890965</v>
      </c>
      <c r="Q338" s="7">
        <f>Q337/59</f>
        <v>1</v>
      </c>
    </row>
    <row r="339" spans="2:17" ht="4.5" customHeight="1">
      <c r="B339" s="1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9">
      <c r="A340" s="5" t="s">
        <v>124</v>
      </c>
      <c r="B340" s="1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9">
      <c r="B341" s="9" t="s">
        <v>104</v>
      </c>
      <c r="C341" s="3">
        <v>18092</v>
      </c>
      <c r="D341" s="3">
        <v>406</v>
      </c>
      <c r="E341" s="3">
        <v>191</v>
      </c>
      <c r="F341" s="3">
        <v>347</v>
      </c>
      <c r="G341" s="3">
        <v>3733</v>
      </c>
      <c r="H341" s="3">
        <v>383</v>
      </c>
      <c r="I341" s="3">
        <v>541</v>
      </c>
      <c r="J341" s="3">
        <v>4625</v>
      </c>
      <c r="K341" s="3">
        <v>820</v>
      </c>
      <c r="L341" s="3">
        <v>1494</v>
      </c>
      <c r="M341" s="3">
        <v>717</v>
      </c>
      <c r="N341" s="3">
        <v>327</v>
      </c>
      <c r="O341" s="3">
        <v>56</v>
      </c>
      <c r="P341" s="3">
        <v>86</v>
      </c>
      <c r="Q341" s="3">
        <v>35</v>
      </c>
    </row>
    <row r="342" spans="1:17" ht="9">
      <c r="A342" s="4" t="s">
        <v>22</v>
      </c>
      <c r="C342" s="3">
        <v>18092</v>
      </c>
      <c r="D342" s="3">
        <v>406</v>
      </c>
      <c r="E342" s="3">
        <v>191</v>
      </c>
      <c r="F342" s="3">
        <v>347</v>
      </c>
      <c r="G342" s="3">
        <v>3733</v>
      </c>
      <c r="H342" s="3">
        <v>383</v>
      </c>
      <c r="I342" s="3">
        <v>541</v>
      </c>
      <c r="J342" s="3">
        <v>4625</v>
      </c>
      <c r="K342" s="3">
        <v>820</v>
      </c>
      <c r="L342" s="3">
        <v>1494</v>
      </c>
      <c r="M342" s="3">
        <v>717</v>
      </c>
      <c r="N342" s="3">
        <v>327</v>
      </c>
      <c r="O342" s="3">
        <v>56</v>
      </c>
      <c r="P342" s="3">
        <v>86</v>
      </c>
      <c r="Q342" s="3">
        <v>35</v>
      </c>
    </row>
    <row r="343" spans="2:17" s="6" customFormat="1" ht="9">
      <c r="B343" s="10" t="s">
        <v>154</v>
      </c>
      <c r="C343" s="7">
        <f>C342/18092</f>
        <v>1</v>
      </c>
      <c r="D343" s="7">
        <f aca="true" t="shared" si="54" ref="D343:M343">D342/13257</f>
        <v>0.030625330014332052</v>
      </c>
      <c r="E343" s="7">
        <f t="shared" si="54"/>
        <v>0.014407482839254733</v>
      </c>
      <c r="F343" s="7">
        <f t="shared" si="54"/>
        <v>0.02617485102210153</v>
      </c>
      <c r="G343" s="7">
        <f t="shared" si="54"/>
        <v>0.2815870860677378</v>
      </c>
      <c r="H343" s="7">
        <f t="shared" si="54"/>
        <v>0.028890397525835408</v>
      </c>
      <c r="I343" s="7">
        <f t="shared" si="54"/>
        <v>0.04080862940333409</v>
      </c>
      <c r="J343" s="7">
        <f t="shared" si="54"/>
        <v>0.3488722938824772</v>
      </c>
      <c r="K343" s="7">
        <f t="shared" si="54"/>
        <v>0.06185411480727163</v>
      </c>
      <c r="L343" s="7">
        <f t="shared" si="54"/>
        <v>0.11269517990495587</v>
      </c>
      <c r="M343" s="7">
        <f t="shared" si="54"/>
        <v>0.0540846345326997</v>
      </c>
      <c r="N343" s="7">
        <f>N342/327</f>
        <v>1</v>
      </c>
      <c r="O343" s="7">
        <f>O342/142</f>
        <v>0.39436619718309857</v>
      </c>
      <c r="P343" s="7">
        <f>P342/142</f>
        <v>0.6056338028169014</v>
      </c>
      <c r="Q343" s="7">
        <f>Q342/35</f>
        <v>1</v>
      </c>
    </row>
    <row r="344" spans="2:17" ht="4.5" customHeight="1">
      <c r="B344" s="1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9">
      <c r="A345" s="5" t="s">
        <v>126</v>
      </c>
      <c r="B345" s="1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9">
      <c r="B346" s="9" t="s">
        <v>104</v>
      </c>
      <c r="C346" s="3">
        <v>13208</v>
      </c>
      <c r="D346" s="3">
        <v>411</v>
      </c>
      <c r="E346" s="3">
        <v>176</v>
      </c>
      <c r="F346" s="3">
        <v>424</v>
      </c>
      <c r="G346" s="3">
        <v>3453</v>
      </c>
      <c r="H346" s="3">
        <v>269</v>
      </c>
      <c r="I346" s="3">
        <v>517</v>
      </c>
      <c r="J346" s="3">
        <v>3616</v>
      </c>
      <c r="K346" s="3">
        <v>592</v>
      </c>
      <c r="L346" s="3">
        <v>860</v>
      </c>
      <c r="M346" s="3">
        <v>691</v>
      </c>
      <c r="N346" s="3">
        <v>210</v>
      </c>
      <c r="O346" s="3">
        <v>32</v>
      </c>
      <c r="P346" s="3">
        <v>34</v>
      </c>
      <c r="Q346" s="3">
        <v>48</v>
      </c>
    </row>
    <row r="347" spans="2:17" ht="9">
      <c r="B347" s="9" t="s">
        <v>125</v>
      </c>
      <c r="C347" s="3">
        <v>4060</v>
      </c>
      <c r="D347" s="3">
        <v>178</v>
      </c>
      <c r="E347" s="3">
        <v>80</v>
      </c>
      <c r="F347" s="3">
        <v>174</v>
      </c>
      <c r="G347" s="3">
        <v>1238</v>
      </c>
      <c r="H347" s="3">
        <v>101</v>
      </c>
      <c r="I347" s="3">
        <v>268</v>
      </c>
      <c r="J347" s="3">
        <v>1854</v>
      </c>
      <c r="K347" s="3">
        <v>300</v>
      </c>
      <c r="L347" s="3">
        <v>381</v>
      </c>
      <c r="M347" s="3">
        <v>224</v>
      </c>
      <c r="N347" s="3">
        <v>69</v>
      </c>
      <c r="O347" s="3">
        <v>14</v>
      </c>
      <c r="P347" s="3">
        <v>34</v>
      </c>
      <c r="Q347" s="3">
        <v>6</v>
      </c>
    </row>
    <row r="348" spans="1:17" ht="9">
      <c r="A348" s="4" t="s">
        <v>22</v>
      </c>
      <c r="C348" s="3">
        <v>17268</v>
      </c>
      <c r="D348" s="3">
        <v>589</v>
      </c>
      <c r="E348" s="3">
        <v>256</v>
      </c>
      <c r="F348" s="3">
        <v>598</v>
      </c>
      <c r="G348" s="3">
        <v>4691</v>
      </c>
      <c r="H348" s="3">
        <v>370</v>
      </c>
      <c r="I348" s="3">
        <v>785</v>
      </c>
      <c r="J348" s="3">
        <v>5470</v>
      </c>
      <c r="K348" s="3">
        <v>892</v>
      </c>
      <c r="L348" s="3">
        <v>1241</v>
      </c>
      <c r="M348" s="3">
        <v>915</v>
      </c>
      <c r="N348" s="3">
        <v>279</v>
      </c>
      <c r="O348" s="3">
        <v>46</v>
      </c>
      <c r="P348" s="3">
        <v>68</v>
      </c>
      <c r="Q348" s="3">
        <v>54</v>
      </c>
    </row>
    <row r="349" spans="2:17" s="6" customFormat="1" ht="9">
      <c r="B349" s="10" t="s">
        <v>154</v>
      </c>
      <c r="C349" s="7">
        <f>C348/17268</f>
        <v>1</v>
      </c>
      <c r="D349" s="7">
        <f aca="true" t="shared" si="55" ref="D349:M349">D348/15807</f>
        <v>0.0372619725438097</v>
      </c>
      <c r="E349" s="7">
        <f t="shared" si="55"/>
        <v>0.01619535648763206</v>
      </c>
      <c r="F349" s="7">
        <f t="shared" si="55"/>
        <v>0.03783134054532802</v>
      </c>
      <c r="G349" s="7">
        <f t="shared" si="55"/>
        <v>0.29676725501360157</v>
      </c>
      <c r="H349" s="7">
        <f t="shared" si="55"/>
        <v>0.023407351173530714</v>
      </c>
      <c r="I349" s="7">
        <f t="shared" si="55"/>
        <v>0.049661542354653004</v>
      </c>
      <c r="J349" s="7">
        <f t="shared" si="55"/>
        <v>0.3460492187005757</v>
      </c>
      <c r="K349" s="7">
        <f t="shared" si="55"/>
        <v>0.056430695261592966</v>
      </c>
      <c r="L349" s="7">
        <f t="shared" si="55"/>
        <v>0.07850952109824762</v>
      </c>
      <c r="M349" s="7">
        <f t="shared" si="55"/>
        <v>0.05788574682102866</v>
      </c>
      <c r="N349" s="7">
        <f>N348/279</f>
        <v>1</v>
      </c>
      <c r="O349" s="7">
        <f>O348/114</f>
        <v>0.40350877192982454</v>
      </c>
      <c r="P349" s="7">
        <f>P348/114</f>
        <v>0.5964912280701754</v>
      </c>
      <c r="Q349" s="7">
        <f>Q348/54</f>
        <v>1</v>
      </c>
    </row>
    <row r="350" spans="2:17" ht="4.5" customHeight="1">
      <c r="B350" s="1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9">
      <c r="A351" s="5" t="s">
        <v>127</v>
      </c>
      <c r="B351" s="1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9">
      <c r="B352" s="9" t="s">
        <v>104</v>
      </c>
      <c r="C352" s="3">
        <v>14574</v>
      </c>
      <c r="D352" s="3">
        <v>430</v>
      </c>
      <c r="E352" s="3">
        <v>170</v>
      </c>
      <c r="F352" s="3">
        <v>269</v>
      </c>
      <c r="G352" s="3">
        <v>4292</v>
      </c>
      <c r="H352" s="3">
        <v>270</v>
      </c>
      <c r="I352" s="3">
        <v>949</v>
      </c>
      <c r="J352" s="3">
        <v>4740</v>
      </c>
      <c r="K352" s="3">
        <v>656</v>
      </c>
      <c r="L352" s="3">
        <v>851</v>
      </c>
      <c r="M352" s="3">
        <v>787</v>
      </c>
      <c r="N352" s="3">
        <v>266</v>
      </c>
      <c r="O352" s="3">
        <v>31</v>
      </c>
      <c r="P352" s="3">
        <v>45</v>
      </c>
      <c r="Q352" s="3">
        <v>50</v>
      </c>
    </row>
    <row r="353" spans="1:17" ht="9">
      <c r="A353" s="4" t="s">
        <v>22</v>
      </c>
      <c r="C353" s="3">
        <v>14574</v>
      </c>
      <c r="D353" s="3">
        <v>430</v>
      </c>
      <c r="E353" s="3">
        <v>170</v>
      </c>
      <c r="F353" s="3">
        <v>269</v>
      </c>
      <c r="G353" s="3">
        <v>4292</v>
      </c>
      <c r="H353" s="3">
        <v>270</v>
      </c>
      <c r="I353" s="3">
        <v>949</v>
      </c>
      <c r="J353" s="3">
        <v>4740</v>
      </c>
      <c r="K353" s="3">
        <v>656</v>
      </c>
      <c r="L353" s="3">
        <v>851</v>
      </c>
      <c r="M353" s="3">
        <v>787</v>
      </c>
      <c r="N353" s="3">
        <v>266</v>
      </c>
      <c r="O353" s="3">
        <v>31</v>
      </c>
      <c r="P353" s="3">
        <v>45</v>
      </c>
      <c r="Q353" s="3">
        <v>50</v>
      </c>
    </row>
    <row r="354" spans="2:17" s="6" customFormat="1" ht="9">
      <c r="B354" s="10" t="s">
        <v>154</v>
      </c>
      <c r="C354" s="7">
        <f>C353/14574</f>
        <v>1</v>
      </c>
      <c r="D354" s="7">
        <f aca="true" t="shared" si="56" ref="D354:M354">D353/13414</f>
        <v>0.032056060831966604</v>
      </c>
      <c r="E354" s="7">
        <f t="shared" si="56"/>
        <v>0.012673326375428657</v>
      </c>
      <c r="F354" s="7">
        <f t="shared" si="56"/>
        <v>0.020053675264648876</v>
      </c>
      <c r="G354" s="7">
        <f t="shared" si="56"/>
        <v>0.3199642164902341</v>
      </c>
      <c r="H354" s="7">
        <f t="shared" si="56"/>
        <v>0.020128224243327865</v>
      </c>
      <c r="I354" s="7">
        <f t="shared" si="56"/>
        <v>0.0707469807663635</v>
      </c>
      <c r="J354" s="7">
        <f t="shared" si="56"/>
        <v>0.35336215893842254</v>
      </c>
      <c r="K354" s="7">
        <f t="shared" si="56"/>
        <v>0.04890413001341882</v>
      </c>
      <c r="L354" s="7">
        <f t="shared" si="56"/>
        <v>0.06344118085582227</v>
      </c>
      <c r="M354" s="7">
        <f t="shared" si="56"/>
        <v>0.058670046220366784</v>
      </c>
      <c r="N354" s="7">
        <f>N353/266</f>
        <v>1</v>
      </c>
      <c r="O354" s="7">
        <f>O353/76</f>
        <v>0.40789473684210525</v>
      </c>
      <c r="P354" s="7">
        <f>P353/76</f>
        <v>0.5921052631578947</v>
      </c>
      <c r="Q354" s="7">
        <f>Q353/50</f>
        <v>1</v>
      </c>
    </row>
    <row r="355" spans="2:17" ht="4.5" customHeight="1">
      <c r="B355" s="1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9">
      <c r="A356" s="5" t="s">
        <v>128</v>
      </c>
      <c r="B356" s="1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9">
      <c r="B357" s="9" t="s">
        <v>104</v>
      </c>
      <c r="C357" s="3">
        <v>19671</v>
      </c>
      <c r="D357" s="3">
        <v>393</v>
      </c>
      <c r="E357" s="3">
        <v>184</v>
      </c>
      <c r="F357" s="3">
        <v>181</v>
      </c>
      <c r="G357" s="3">
        <v>6115</v>
      </c>
      <c r="H357" s="3">
        <v>296</v>
      </c>
      <c r="I357" s="3">
        <v>497</v>
      </c>
      <c r="J357" s="3">
        <v>5270</v>
      </c>
      <c r="K357" s="3">
        <v>622</v>
      </c>
      <c r="L357" s="3">
        <v>1236</v>
      </c>
      <c r="M357" s="3">
        <v>679</v>
      </c>
      <c r="N357" s="3">
        <v>251</v>
      </c>
      <c r="O357" s="3">
        <v>32</v>
      </c>
      <c r="P357" s="3">
        <v>47</v>
      </c>
      <c r="Q357" s="3">
        <v>62</v>
      </c>
    </row>
    <row r="358" spans="1:17" ht="9">
      <c r="A358" s="4" t="s">
        <v>22</v>
      </c>
      <c r="C358" s="3">
        <v>19671</v>
      </c>
      <c r="D358" s="3">
        <v>393</v>
      </c>
      <c r="E358" s="3">
        <v>184</v>
      </c>
      <c r="F358" s="3">
        <v>181</v>
      </c>
      <c r="G358" s="3">
        <v>6115</v>
      </c>
      <c r="H358" s="3">
        <v>296</v>
      </c>
      <c r="I358" s="3">
        <v>497</v>
      </c>
      <c r="J358" s="3">
        <v>5270</v>
      </c>
      <c r="K358" s="3">
        <v>622</v>
      </c>
      <c r="L358" s="3">
        <v>1236</v>
      </c>
      <c r="M358" s="3">
        <v>679</v>
      </c>
      <c r="N358" s="3">
        <v>251</v>
      </c>
      <c r="O358" s="3">
        <v>32</v>
      </c>
      <c r="P358" s="3">
        <v>47</v>
      </c>
      <c r="Q358" s="3">
        <v>62</v>
      </c>
    </row>
    <row r="359" spans="2:17" s="6" customFormat="1" ht="9">
      <c r="B359" s="10" t="s">
        <v>154</v>
      </c>
      <c r="C359" s="7">
        <f>C358/19671</f>
        <v>1</v>
      </c>
      <c r="D359" s="7">
        <f aca="true" t="shared" si="57" ref="D359:M359">D358/15473</f>
        <v>0.025399082272345375</v>
      </c>
      <c r="E359" s="7">
        <f t="shared" si="57"/>
        <v>0.011891682285271118</v>
      </c>
      <c r="F359" s="7">
        <f t="shared" si="57"/>
        <v>0.01169779616105474</v>
      </c>
      <c r="G359" s="7">
        <f t="shared" si="57"/>
        <v>0.3952045498610483</v>
      </c>
      <c r="H359" s="7">
        <f t="shared" si="57"/>
        <v>0.01913009758934919</v>
      </c>
      <c r="I359" s="7">
        <f t="shared" si="57"/>
        <v>0.032120467911846445</v>
      </c>
      <c r="J359" s="7">
        <f t="shared" si="57"/>
        <v>0.3405932915401021</v>
      </c>
      <c r="K359" s="7">
        <f t="shared" si="57"/>
        <v>0.04019905642086215</v>
      </c>
      <c r="L359" s="7">
        <f t="shared" si="57"/>
        <v>0.07988108317714729</v>
      </c>
      <c r="M359" s="7">
        <f t="shared" si="57"/>
        <v>0.04388289278097331</v>
      </c>
      <c r="N359" s="7">
        <f>N358/251</f>
        <v>1</v>
      </c>
      <c r="O359" s="7">
        <f>O358/79</f>
        <v>0.4050632911392405</v>
      </c>
      <c r="P359" s="7">
        <f>P358/79</f>
        <v>0.5949367088607594</v>
      </c>
      <c r="Q359" s="7">
        <f>Q358/62</f>
        <v>1</v>
      </c>
    </row>
    <row r="360" spans="2:17" ht="4.5" customHeight="1">
      <c r="B360" s="1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9">
      <c r="A361" s="5" t="s">
        <v>129</v>
      </c>
      <c r="B361" s="1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9">
      <c r="B362" s="9" t="s">
        <v>104</v>
      </c>
      <c r="C362" s="3">
        <v>11824</v>
      </c>
      <c r="D362" s="3">
        <v>715</v>
      </c>
      <c r="E362" s="3">
        <v>339</v>
      </c>
      <c r="F362" s="3">
        <v>248</v>
      </c>
      <c r="G362" s="3">
        <v>6603</v>
      </c>
      <c r="H362" s="3">
        <v>551</v>
      </c>
      <c r="I362" s="3">
        <v>787</v>
      </c>
      <c r="J362" s="3">
        <v>9876</v>
      </c>
      <c r="K362" s="3">
        <v>1173</v>
      </c>
      <c r="L362" s="3">
        <v>1731</v>
      </c>
      <c r="M362" s="3">
        <v>1268</v>
      </c>
      <c r="N362" s="3">
        <v>233</v>
      </c>
      <c r="O362" s="3">
        <v>72</v>
      </c>
      <c r="P362" s="3">
        <v>96</v>
      </c>
      <c r="Q362" s="3">
        <v>21</v>
      </c>
    </row>
    <row r="363" spans="2:17" ht="9">
      <c r="B363" s="9" t="s">
        <v>95</v>
      </c>
      <c r="C363" s="3">
        <v>12850</v>
      </c>
      <c r="D363" s="3">
        <v>885</v>
      </c>
      <c r="E363" s="3">
        <v>316</v>
      </c>
      <c r="F363" s="3">
        <v>302</v>
      </c>
      <c r="G363" s="3">
        <v>7088</v>
      </c>
      <c r="H363" s="3">
        <v>442</v>
      </c>
      <c r="I363" s="3">
        <v>782</v>
      </c>
      <c r="J363" s="3">
        <v>8861</v>
      </c>
      <c r="K363" s="3">
        <v>1250</v>
      </c>
      <c r="L363" s="3">
        <v>1107</v>
      </c>
      <c r="M363" s="3">
        <v>1214</v>
      </c>
      <c r="N363" s="3">
        <v>330</v>
      </c>
      <c r="O363" s="3">
        <v>95</v>
      </c>
      <c r="P363" s="3">
        <v>88</v>
      </c>
      <c r="Q363" s="3">
        <v>37</v>
      </c>
    </row>
    <row r="364" spans="1:17" ht="9">
      <c r="A364" s="4" t="s">
        <v>22</v>
      </c>
      <c r="C364" s="3">
        <v>24674</v>
      </c>
      <c r="D364" s="3">
        <v>1600</v>
      </c>
      <c r="E364" s="3">
        <v>655</v>
      </c>
      <c r="F364" s="3">
        <v>550</v>
      </c>
      <c r="G364" s="3">
        <v>13691</v>
      </c>
      <c r="H364" s="3">
        <v>993</v>
      </c>
      <c r="I364" s="3">
        <v>1569</v>
      </c>
      <c r="J364" s="3">
        <v>18737</v>
      </c>
      <c r="K364" s="3">
        <v>2423</v>
      </c>
      <c r="L364" s="3">
        <v>2838</v>
      </c>
      <c r="M364" s="3">
        <v>2482</v>
      </c>
      <c r="N364" s="3">
        <v>563</v>
      </c>
      <c r="O364" s="3">
        <v>167</v>
      </c>
      <c r="P364" s="3">
        <v>184</v>
      </c>
      <c r="Q364" s="3">
        <v>58</v>
      </c>
    </row>
    <row r="365" spans="2:17" s="6" customFormat="1" ht="9">
      <c r="B365" s="10" t="s">
        <v>154</v>
      </c>
      <c r="C365" s="7">
        <f>C364/24674</f>
        <v>1</v>
      </c>
      <c r="D365" s="7">
        <f aca="true" t="shared" si="58" ref="D365:M365">D364/45538</f>
        <v>0.035135491238086874</v>
      </c>
      <c r="E365" s="7">
        <f t="shared" si="58"/>
        <v>0.014383591725591813</v>
      </c>
      <c r="F365" s="7">
        <f t="shared" si="58"/>
        <v>0.012077825113092362</v>
      </c>
      <c r="G365" s="7">
        <f t="shared" si="58"/>
        <v>0.3006500065879046</v>
      </c>
      <c r="H365" s="7">
        <f t="shared" si="58"/>
        <v>0.021805964249637665</v>
      </c>
      <c r="I365" s="7">
        <f t="shared" si="58"/>
        <v>0.03445474109534894</v>
      </c>
      <c r="J365" s="7">
        <f t="shared" si="58"/>
        <v>0.4114585620800211</v>
      </c>
      <c r="K365" s="7">
        <f t="shared" si="58"/>
        <v>0.053208309543677806</v>
      </c>
      <c r="L365" s="7">
        <f t="shared" si="58"/>
        <v>0.06232157758355659</v>
      </c>
      <c r="M365" s="7">
        <f t="shared" si="58"/>
        <v>0.05450393078308226</v>
      </c>
      <c r="N365" s="7">
        <f>N364/563</f>
        <v>1</v>
      </c>
      <c r="O365" s="7">
        <f>O364/351</f>
        <v>0.4757834757834758</v>
      </c>
      <c r="P365" s="7">
        <f>P364/351</f>
        <v>0.5242165242165242</v>
      </c>
      <c r="Q365" s="7">
        <f>Q364/58</f>
        <v>1</v>
      </c>
    </row>
    <row r="366" spans="2:17" ht="4.5" customHeight="1">
      <c r="B366" s="1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9">
      <c r="A367" s="5" t="s">
        <v>130</v>
      </c>
      <c r="B367" s="1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9">
      <c r="B368" s="9" t="s">
        <v>104</v>
      </c>
      <c r="C368" s="3">
        <v>6673</v>
      </c>
      <c r="D368" s="3">
        <v>447</v>
      </c>
      <c r="E368" s="3">
        <v>342</v>
      </c>
      <c r="F368" s="3">
        <v>187</v>
      </c>
      <c r="G368" s="3">
        <v>4434</v>
      </c>
      <c r="H368" s="3">
        <v>357</v>
      </c>
      <c r="I368" s="3">
        <v>418</v>
      </c>
      <c r="J368" s="3">
        <v>5567</v>
      </c>
      <c r="K368" s="3">
        <v>531</v>
      </c>
      <c r="L368" s="3">
        <v>1177</v>
      </c>
      <c r="M368" s="3">
        <v>843</v>
      </c>
      <c r="N368" s="3">
        <v>148</v>
      </c>
      <c r="O368" s="3">
        <v>39</v>
      </c>
      <c r="P368" s="3">
        <v>42</v>
      </c>
      <c r="Q368" s="3">
        <v>11</v>
      </c>
    </row>
    <row r="369" spans="2:17" ht="9">
      <c r="B369" s="9" t="s">
        <v>125</v>
      </c>
      <c r="C369" s="3">
        <v>9175</v>
      </c>
      <c r="D369" s="3">
        <v>945</v>
      </c>
      <c r="E369" s="3">
        <v>611</v>
      </c>
      <c r="F369" s="3">
        <v>281</v>
      </c>
      <c r="G369" s="3">
        <v>6129</v>
      </c>
      <c r="H369" s="3">
        <v>994</v>
      </c>
      <c r="I369" s="3">
        <v>619</v>
      </c>
      <c r="J369" s="3">
        <v>8445</v>
      </c>
      <c r="K369" s="3">
        <v>1245</v>
      </c>
      <c r="L369" s="3">
        <v>2088</v>
      </c>
      <c r="M369" s="3">
        <v>1377</v>
      </c>
      <c r="N369" s="3">
        <v>142</v>
      </c>
      <c r="O369" s="3">
        <v>41</v>
      </c>
      <c r="P369" s="3">
        <v>86</v>
      </c>
      <c r="Q369" s="3">
        <v>14</v>
      </c>
    </row>
    <row r="370" spans="2:17" ht="9">
      <c r="B370" s="9" t="s">
        <v>95</v>
      </c>
      <c r="C370" s="3">
        <v>3175</v>
      </c>
      <c r="D370" s="3">
        <v>217</v>
      </c>
      <c r="E370" s="3">
        <v>134</v>
      </c>
      <c r="F370" s="3">
        <v>63</v>
      </c>
      <c r="G370" s="3">
        <v>1790</v>
      </c>
      <c r="H370" s="3">
        <v>172</v>
      </c>
      <c r="I370" s="3">
        <v>188</v>
      </c>
      <c r="J370" s="3">
        <v>1686</v>
      </c>
      <c r="K370" s="3">
        <v>260</v>
      </c>
      <c r="L370" s="3">
        <v>396</v>
      </c>
      <c r="M370" s="3">
        <v>343</v>
      </c>
      <c r="N370" s="3">
        <v>52</v>
      </c>
      <c r="O370" s="3">
        <v>17</v>
      </c>
      <c r="P370" s="3">
        <v>24</v>
      </c>
      <c r="Q370" s="3">
        <v>2</v>
      </c>
    </row>
    <row r="371" spans="1:17" ht="9">
      <c r="A371" s="4" t="s">
        <v>22</v>
      </c>
      <c r="C371" s="3">
        <v>19023</v>
      </c>
      <c r="D371" s="3">
        <v>1609</v>
      </c>
      <c r="E371" s="3">
        <v>1087</v>
      </c>
      <c r="F371" s="3">
        <v>531</v>
      </c>
      <c r="G371" s="3">
        <v>12353</v>
      </c>
      <c r="H371" s="3">
        <v>1523</v>
      </c>
      <c r="I371" s="3">
        <v>1225</v>
      </c>
      <c r="J371" s="3">
        <v>15698</v>
      </c>
      <c r="K371" s="3">
        <v>2036</v>
      </c>
      <c r="L371" s="3">
        <v>3661</v>
      </c>
      <c r="M371" s="3">
        <v>2563</v>
      </c>
      <c r="N371" s="3">
        <v>342</v>
      </c>
      <c r="O371" s="3">
        <v>97</v>
      </c>
      <c r="P371" s="3">
        <v>152</v>
      </c>
      <c r="Q371" s="3">
        <v>27</v>
      </c>
    </row>
    <row r="372" spans="2:17" s="6" customFormat="1" ht="9">
      <c r="B372" s="10" t="s">
        <v>154</v>
      </c>
      <c r="C372" s="7">
        <f>C371/19023</f>
        <v>1</v>
      </c>
      <c r="D372" s="7">
        <f aca="true" t="shared" si="59" ref="D372:M372">D371/42286</f>
        <v>0.03805041857825285</v>
      </c>
      <c r="E372" s="7">
        <f t="shared" si="59"/>
        <v>0.02570590739251762</v>
      </c>
      <c r="F372" s="7">
        <f t="shared" si="59"/>
        <v>0.012557347585489287</v>
      </c>
      <c r="G372" s="7">
        <f t="shared" si="59"/>
        <v>0.29212978290687225</v>
      </c>
      <c r="H372" s="7">
        <f t="shared" si="59"/>
        <v>0.03601664853615854</v>
      </c>
      <c r="I372" s="7">
        <f t="shared" si="59"/>
        <v>0.02896939885541314</v>
      </c>
      <c r="J372" s="7">
        <f t="shared" si="59"/>
        <v>0.3712339781487963</v>
      </c>
      <c r="K372" s="7">
        <f t="shared" si="59"/>
        <v>0.04814832332213972</v>
      </c>
      <c r="L372" s="7">
        <f t="shared" si="59"/>
        <v>0.08657711772217755</v>
      </c>
      <c r="M372" s="7">
        <f t="shared" si="59"/>
        <v>0.060611076952182756</v>
      </c>
      <c r="N372" s="7">
        <f>N371/342</f>
        <v>1</v>
      </c>
      <c r="O372" s="7">
        <f>O371/249</f>
        <v>0.3895582329317269</v>
      </c>
      <c r="P372" s="7">
        <f>P371/249</f>
        <v>0.6104417670682731</v>
      </c>
      <c r="Q372" s="7">
        <f>Q371/27</f>
        <v>1</v>
      </c>
    </row>
    <row r="373" spans="2:17" ht="4.5" customHeight="1">
      <c r="B373" s="1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9">
      <c r="A374" s="5" t="s">
        <v>131</v>
      </c>
      <c r="B374" s="1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9">
      <c r="B375" s="9" t="s">
        <v>104</v>
      </c>
      <c r="C375" s="3">
        <v>3677</v>
      </c>
      <c r="D375" s="3">
        <v>144</v>
      </c>
      <c r="E375" s="3">
        <v>57</v>
      </c>
      <c r="F375" s="3">
        <v>41</v>
      </c>
      <c r="G375" s="3">
        <v>877</v>
      </c>
      <c r="H375" s="3">
        <v>161</v>
      </c>
      <c r="I375" s="3">
        <v>97</v>
      </c>
      <c r="J375" s="3">
        <v>1135</v>
      </c>
      <c r="K375" s="3">
        <v>162</v>
      </c>
      <c r="L375" s="3">
        <v>208</v>
      </c>
      <c r="M375" s="3">
        <v>214</v>
      </c>
      <c r="N375" s="3">
        <v>82</v>
      </c>
      <c r="O375" s="3">
        <v>5</v>
      </c>
      <c r="P375" s="3">
        <v>10</v>
      </c>
      <c r="Q375" s="3">
        <v>20</v>
      </c>
    </row>
    <row r="376" spans="2:17" ht="9">
      <c r="B376" s="9" t="s">
        <v>95</v>
      </c>
      <c r="C376" s="3">
        <v>10040</v>
      </c>
      <c r="D376" s="3">
        <v>530</v>
      </c>
      <c r="E376" s="3">
        <v>140</v>
      </c>
      <c r="F376" s="3">
        <v>150</v>
      </c>
      <c r="G376" s="3">
        <v>2853</v>
      </c>
      <c r="H376" s="3">
        <v>481</v>
      </c>
      <c r="I376" s="3">
        <v>353</v>
      </c>
      <c r="J376" s="3">
        <v>3681</v>
      </c>
      <c r="K376" s="3">
        <v>603</v>
      </c>
      <c r="L376" s="3">
        <v>701</v>
      </c>
      <c r="M376" s="3">
        <v>710</v>
      </c>
      <c r="N376" s="3">
        <v>140</v>
      </c>
      <c r="O376" s="3">
        <v>38</v>
      </c>
      <c r="P376" s="3">
        <v>38</v>
      </c>
      <c r="Q376" s="3">
        <v>26</v>
      </c>
    </row>
    <row r="377" spans="1:17" ht="9">
      <c r="A377" s="4" t="s">
        <v>22</v>
      </c>
      <c r="C377" s="3">
        <v>13717</v>
      </c>
      <c r="D377" s="3">
        <v>674</v>
      </c>
      <c r="E377" s="3">
        <v>197</v>
      </c>
      <c r="F377" s="3">
        <v>191</v>
      </c>
      <c r="G377" s="3">
        <v>3730</v>
      </c>
      <c r="H377" s="3">
        <v>642</v>
      </c>
      <c r="I377" s="3">
        <v>450</v>
      </c>
      <c r="J377" s="3">
        <v>4816</v>
      </c>
      <c r="K377" s="3">
        <v>765</v>
      </c>
      <c r="L377" s="3">
        <v>909</v>
      </c>
      <c r="M377" s="3">
        <v>924</v>
      </c>
      <c r="N377" s="3">
        <v>222</v>
      </c>
      <c r="O377" s="3">
        <v>43</v>
      </c>
      <c r="P377" s="3">
        <v>48</v>
      </c>
      <c r="Q377" s="3">
        <v>46</v>
      </c>
    </row>
    <row r="378" spans="2:17" s="6" customFormat="1" ht="9">
      <c r="B378" s="10" t="s">
        <v>154</v>
      </c>
      <c r="C378" s="7">
        <f>C377/13717</f>
        <v>1</v>
      </c>
      <c r="D378" s="7">
        <f aca="true" t="shared" si="60" ref="D378:M378">D377/13298</f>
        <v>0.050684313430591064</v>
      </c>
      <c r="E378" s="7">
        <f t="shared" si="60"/>
        <v>0.014814257783125282</v>
      </c>
      <c r="F378" s="7">
        <f t="shared" si="60"/>
        <v>0.0143630621146037</v>
      </c>
      <c r="G378" s="7">
        <f t="shared" si="60"/>
        <v>0.28049330726425026</v>
      </c>
      <c r="H378" s="7">
        <f t="shared" si="60"/>
        <v>0.04827793653180929</v>
      </c>
      <c r="I378" s="7">
        <f t="shared" si="60"/>
        <v>0.03383967513911867</v>
      </c>
      <c r="J378" s="7">
        <f t="shared" si="60"/>
        <v>0.36215972326665663</v>
      </c>
      <c r="K378" s="7">
        <f t="shared" si="60"/>
        <v>0.05752744773650173</v>
      </c>
      <c r="L378" s="7">
        <f t="shared" si="60"/>
        <v>0.0683561437810197</v>
      </c>
      <c r="M378" s="7">
        <f t="shared" si="60"/>
        <v>0.06948413295232365</v>
      </c>
      <c r="N378" s="7">
        <f>N377/222</f>
        <v>1</v>
      </c>
      <c r="O378" s="7">
        <f>O377/91</f>
        <v>0.4725274725274725</v>
      </c>
      <c r="P378" s="7">
        <f>P377/91</f>
        <v>0.5274725274725275</v>
      </c>
      <c r="Q378" s="7">
        <f>Q377/46</f>
        <v>1</v>
      </c>
    </row>
    <row r="379" spans="2:17" ht="4.5" customHeight="1">
      <c r="B379" s="1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9">
      <c r="A380" s="5" t="s">
        <v>132</v>
      </c>
      <c r="B380" s="1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9">
      <c r="B381" s="9" t="s">
        <v>95</v>
      </c>
      <c r="C381" s="3">
        <v>19330</v>
      </c>
      <c r="D381" s="3">
        <v>651</v>
      </c>
      <c r="E381" s="3">
        <v>91</v>
      </c>
      <c r="F381" s="3">
        <v>223</v>
      </c>
      <c r="G381" s="3">
        <v>2333</v>
      </c>
      <c r="H381" s="3">
        <v>237</v>
      </c>
      <c r="I381" s="3">
        <v>408</v>
      </c>
      <c r="J381" s="3">
        <v>2654</v>
      </c>
      <c r="K381" s="3">
        <v>605</v>
      </c>
      <c r="L381" s="3">
        <v>631</v>
      </c>
      <c r="M381" s="3">
        <v>787</v>
      </c>
      <c r="N381" s="3">
        <v>213</v>
      </c>
      <c r="O381" s="3">
        <v>43</v>
      </c>
      <c r="P381" s="3">
        <v>47</v>
      </c>
      <c r="Q381" s="3">
        <v>41</v>
      </c>
    </row>
    <row r="382" spans="1:17" ht="9">
      <c r="A382" s="4" t="s">
        <v>22</v>
      </c>
      <c r="C382" s="3">
        <v>19330</v>
      </c>
      <c r="D382" s="3">
        <v>651</v>
      </c>
      <c r="E382" s="3">
        <v>91</v>
      </c>
      <c r="F382" s="3">
        <v>223</v>
      </c>
      <c r="G382" s="3">
        <v>2333</v>
      </c>
      <c r="H382" s="3">
        <v>237</v>
      </c>
      <c r="I382" s="3">
        <v>408</v>
      </c>
      <c r="J382" s="3">
        <v>2654</v>
      </c>
      <c r="K382" s="3">
        <v>605</v>
      </c>
      <c r="L382" s="3">
        <v>631</v>
      </c>
      <c r="M382" s="3">
        <v>787</v>
      </c>
      <c r="N382" s="3">
        <v>213</v>
      </c>
      <c r="O382" s="3">
        <v>43</v>
      </c>
      <c r="P382" s="3">
        <v>47</v>
      </c>
      <c r="Q382" s="3">
        <v>41</v>
      </c>
    </row>
    <row r="383" spans="2:17" s="6" customFormat="1" ht="9">
      <c r="B383" s="10" t="s">
        <v>154</v>
      </c>
      <c r="C383" s="7">
        <f>C382/19330</f>
        <v>1</v>
      </c>
      <c r="D383" s="7">
        <f aca="true" t="shared" si="61" ref="D383:M383">D382/8620</f>
        <v>0.07552204176334107</v>
      </c>
      <c r="E383" s="7">
        <f t="shared" si="61"/>
        <v>0.010556844547563804</v>
      </c>
      <c r="F383" s="7">
        <f t="shared" si="61"/>
        <v>0.025870069605568445</v>
      </c>
      <c r="G383" s="7">
        <f t="shared" si="61"/>
        <v>0.2706496519721578</v>
      </c>
      <c r="H383" s="7">
        <f t="shared" si="61"/>
        <v>0.02749419953596288</v>
      </c>
      <c r="I383" s="7">
        <f t="shared" si="61"/>
        <v>0.047331786542923436</v>
      </c>
      <c r="J383" s="7">
        <f t="shared" si="61"/>
        <v>0.30788863109048725</v>
      </c>
      <c r="K383" s="7">
        <f t="shared" si="61"/>
        <v>0.07018561484918794</v>
      </c>
      <c r="L383" s="7">
        <f t="shared" si="61"/>
        <v>0.07320185614849188</v>
      </c>
      <c r="M383" s="7">
        <f t="shared" si="61"/>
        <v>0.09129930394431554</v>
      </c>
      <c r="N383" s="7">
        <f>N382/213</f>
        <v>1</v>
      </c>
      <c r="O383" s="7">
        <f>O382/90</f>
        <v>0.4777777777777778</v>
      </c>
      <c r="P383" s="7">
        <f>P382/90</f>
        <v>0.5222222222222223</v>
      </c>
      <c r="Q383" s="7">
        <f>Q382/41</f>
        <v>1</v>
      </c>
    </row>
    <row r="384" spans="2:17" ht="4.5" customHeight="1">
      <c r="B384" s="1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9">
      <c r="A385" s="5" t="s">
        <v>134</v>
      </c>
      <c r="B385" s="1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9">
      <c r="B386" s="9" t="s">
        <v>133</v>
      </c>
      <c r="C386" s="3">
        <v>597</v>
      </c>
      <c r="D386" s="3">
        <v>34</v>
      </c>
      <c r="E386" s="3">
        <v>9</v>
      </c>
      <c r="F386" s="3">
        <v>25</v>
      </c>
      <c r="G386" s="3">
        <v>186</v>
      </c>
      <c r="H386" s="3">
        <v>16</v>
      </c>
      <c r="I386" s="3">
        <v>20</v>
      </c>
      <c r="J386" s="3">
        <v>220</v>
      </c>
      <c r="K386" s="3">
        <v>50</v>
      </c>
      <c r="L386" s="3">
        <v>34</v>
      </c>
      <c r="M386" s="3">
        <v>100</v>
      </c>
      <c r="N386" s="3">
        <v>8</v>
      </c>
      <c r="O386" s="3">
        <v>3</v>
      </c>
      <c r="P386" s="3">
        <v>3</v>
      </c>
      <c r="Q386" s="3">
        <v>1</v>
      </c>
    </row>
    <row r="387" spans="2:17" ht="9">
      <c r="B387" s="9" t="s">
        <v>95</v>
      </c>
      <c r="C387" s="3">
        <v>22846</v>
      </c>
      <c r="D387" s="3">
        <v>1327</v>
      </c>
      <c r="E387" s="3">
        <v>339</v>
      </c>
      <c r="F387" s="3">
        <v>498</v>
      </c>
      <c r="G387" s="3">
        <v>9058</v>
      </c>
      <c r="H387" s="3">
        <v>684</v>
      </c>
      <c r="I387" s="3">
        <v>1222</v>
      </c>
      <c r="J387" s="3">
        <v>11232</v>
      </c>
      <c r="K387" s="3">
        <v>1900</v>
      </c>
      <c r="L387" s="3">
        <v>2318</v>
      </c>
      <c r="M387" s="3">
        <v>3451</v>
      </c>
      <c r="N387" s="3">
        <v>334</v>
      </c>
      <c r="O387" s="3">
        <v>98</v>
      </c>
      <c r="P387" s="3">
        <v>106</v>
      </c>
      <c r="Q387" s="3">
        <v>36</v>
      </c>
    </row>
    <row r="388" spans="1:17" ht="9">
      <c r="A388" s="4" t="s">
        <v>22</v>
      </c>
      <c r="C388" s="3">
        <v>23443</v>
      </c>
      <c r="D388" s="3">
        <v>1361</v>
      </c>
      <c r="E388" s="3">
        <v>348</v>
      </c>
      <c r="F388" s="3">
        <v>523</v>
      </c>
      <c r="G388" s="3">
        <v>9244</v>
      </c>
      <c r="H388" s="3">
        <v>700</v>
      </c>
      <c r="I388" s="3">
        <v>1242</v>
      </c>
      <c r="J388" s="3">
        <v>11452</v>
      </c>
      <c r="K388" s="3">
        <v>1950</v>
      </c>
      <c r="L388" s="3">
        <v>2352</v>
      </c>
      <c r="M388" s="3">
        <v>3551</v>
      </c>
      <c r="N388" s="3">
        <v>342</v>
      </c>
      <c r="O388" s="3">
        <v>101</v>
      </c>
      <c r="P388" s="3">
        <v>109</v>
      </c>
      <c r="Q388" s="3">
        <v>37</v>
      </c>
    </row>
    <row r="389" spans="2:17" s="6" customFormat="1" ht="9">
      <c r="B389" s="10" t="s">
        <v>154</v>
      </c>
      <c r="C389" s="7">
        <f>C388/23443</f>
        <v>1</v>
      </c>
      <c r="D389" s="7">
        <f aca="true" t="shared" si="62" ref="D389:M389">D388/32723</f>
        <v>0.04159154111786817</v>
      </c>
      <c r="E389" s="7">
        <f t="shared" si="62"/>
        <v>0.010634721755340281</v>
      </c>
      <c r="F389" s="7">
        <f t="shared" si="62"/>
        <v>0.015982642178284386</v>
      </c>
      <c r="G389" s="7">
        <f t="shared" si="62"/>
        <v>0.2824924365125447</v>
      </c>
      <c r="H389" s="7">
        <f t="shared" si="62"/>
        <v>0.021391681691776427</v>
      </c>
      <c r="I389" s="7">
        <f t="shared" si="62"/>
        <v>0.03795495523026617</v>
      </c>
      <c r="J389" s="7">
        <f t="shared" si="62"/>
        <v>0.34996791247746234</v>
      </c>
      <c r="K389" s="7">
        <f t="shared" si="62"/>
        <v>0.05959111328423433</v>
      </c>
      <c r="L389" s="7">
        <f t="shared" si="62"/>
        <v>0.07187605048436879</v>
      </c>
      <c r="M389" s="7">
        <f t="shared" si="62"/>
        <v>0.10851694526785441</v>
      </c>
      <c r="N389" s="7">
        <f>N388/342</f>
        <v>1</v>
      </c>
      <c r="O389" s="7">
        <f>O388/210</f>
        <v>0.48095238095238096</v>
      </c>
      <c r="P389" s="7">
        <f>P388/210</f>
        <v>0.5190476190476191</v>
      </c>
      <c r="Q389" s="7">
        <f>Q388/37</f>
        <v>1</v>
      </c>
    </row>
    <row r="390" spans="2:17" ht="4.5" customHeight="1">
      <c r="B390" s="1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9">
      <c r="A391" s="5" t="s">
        <v>135</v>
      </c>
      <c r="B391" s="1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9">
      <c r="B392" s="9" t="s">
        <v>133</v>
      </c>
      <c r="C392" s="3">
        <v>28186</v>
      </c>
      <c r="D392" s="3">
        <v>1492</v>
      </c>
      <c r="E392" s="3">
        <v>476</v>
      </c>
      <c r="F392" s="3">
        <v>1141</v>
      </c>
      <c r="G392" s="3">
        <v>8990</v>
      </c>
      <c r="H392" s="3">
        <v>824</v>
      </c>
      <c r="I392" s="3">
        <v>1365</v>
      </c>
      <c r="J392" s="3">
        <v>15760</v>
      </c>
      <c r="K392" s="3">
        <v>4138</v>
      </c>
      <c r="L392" s="3">
        <v>3332</v>
      </c>
      <c r="M392" s="3">
        <v>2526</v>
      </c>
      <c r="N392" s="3">
        <v>444</v>
      </c>
      <c r="O392" s="3">
        <v>104</v>
      </c>
      <c r="P392" s="3">
        <v>183</v>
      </c>
      <c r="Q392" s="3">
        <v>76</v>
      </c>
    </row>
    <row r="393" spans="1:17" ht="9">
      <c r="A393" s="4" t="s">
        <v>22</v>
      </c>
      <c r="C393" s="3">
        <v>28186</v>
      </c>
      <c r="D393" s="3">
        <v>1492</v>
      </c>
      <c r="E393" s="3">
        <v>476</v>
      </c>
      <c r="F393" s="3">
        <v>1141</v>
      </c>
      <c r="G393" s="3">
        <v>8990</v>
      </c>
      <c r="H393" s="3">
        <v>824</v>
      </c>
      <c r="I393" s="3">
        <v>1365</v>
      </c>
      <c r="J393" s="3">
        <v>15760</v>
      </c>
      <c r="K393" s="3">
        <v>4138</v>
      </c>
      <c r="L393" s="3">
        <v>3332</v>
      </c>
      <c r="M393" s="3">
        <v>2526</v>
      </c>
      <c r="N393" s="3">
        <v>444</v>
      </c>
      <c r="O393" s="3">
        <v>104</v>
      </c>
      <c r="P393" s="3">
        <v>183</v>
      </c>
      <c r="Q393" s="3">
        <v>76</v>
      </c>
    </row>
    <row r="394" spans="2:17" s="6" customFormat="1" ht="9">
      <c r="B394" s="10" t="s">
        <v>154</v>
      </c>
      <c r="C394" s="7">
        <f>C393/28186</f>
        <v>1</v>
      </c>
      <c r="D394" s="7">
        <f aca="true" t="shared" si="63" ref="D394:M394">D393/40044</f>
        <v>0.03725901508340825</v>
      </c>
      <c r="E394" s="7">
        <f t="shared" si="63"/>
        <v>0.011886924383178503</v>
      </c>
      <c r="F394" s="7">
        <f t="shared" si="63"/>
        <v>0.028493656977324942</v>
      </c>
      <c r="G394" s="7">
        <f t="shared" si="63"/>
        <v>0.22450304664868645</v>
      </c>
      <c r="H394" s="7">
        <f t="shared" si="63"/>
        <v>0.020577364898611526</v>
      </c>
      <c r="I394" s="7">
        <f t="shared" si="63"/>
        <v>0.03408750374587953</v>
      </c>
      <c r="J394" s="7">
        <f t="shared" si="63"/>
        <v>0.3935670762161622</v>
      </c>
      <c r="K394" s="7">
        <f t="shared" si="63"/>
        <v>0.10333633003695934</v>
      </c>
      <c r="L394" s="7">
        <f t="shared" si="63"/>
        <v>0.08320847068224953</v>
      </c>
      <c r="M394" s="7">
        <f t="shared" si="63"/>
        <v>0.06308061132753971</v>
      </c>
      <c r="N394" s="7">
        <f>N393/444</f>
        <v>1</v>
      </c>
      <c r="O394" s="7">
        <f>O393/287</f>
        <v>0.3623693379790941</v>
      </c>
      <c r="P394" s="7">
        <f>P393/287</f>
        <v>0.6376306620209059</v>
      </c>
      <c r="Q394" s="7">
        <f>Q393/76</f>
        <v>1</v>
      </c>
    </row>
    <row r="395" spans="2:17" ht="4.5" customHeight="1">
      <c r="B395" s="1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9">
      <c r="A396" s="5" t="s">
        <v>136</v>
      </c>
      <c r="B396" s="1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9">
      <c r="B397" s="9" t="s">
        <v>133</v>
      </c>
      <c r="C397" s="3">
        <v>22253</v>
      </c>
      <c r="D397" s="3">
        <v>971</v>
      </c>
      <c r="E397" s="3">
        <v>336</v>
      </c>
      <c r="F397" s="3">
        <v>1721</v>
      </c>
      <c r="G397" s="3">
        <v>6554</v>
      </c>
      <c r="H397" s="3">
        <v>549</v>
      </c>
      <c r="I397" s="3">
        <v>1153</v>
      </c>
      <c r="J397" s="3">
        <v>12687</v>
      </c>
      <c r="K397" s="3">
        <v>1895</v>
      </c>
      <c r="L397" s="3">
        <v>2696</v>
      </c>
      <c r="M397" s="3">
        <v>1506</v>
      </c>
      <c r="N397" s="3">
        <v>462</v>
      </c>
      <c r="O397" s="3">
        <v>68</v>
      </c>
      <c r="P397" s="3">
        <v>81</v>
      </c>
      <c r="Q397" s="3">
        <v>25</v>
      </c>
    </row>
    <row r="398" spans="2:17" ht="9">
      <c r="B398" s="9" t="s">
        <v>95</v>
      </c>
      <c r="C398" s="3">
        <v>6276</v>
      </c>
      <c r="D398" s="3">
        <v>423</v>
      </c>
      <c r="E398" s="3">
        <v>173</v>
      </c>
      <c r="F398" s="3">
        <v>282</v>
      </c>
      <c r="G398" s="3">
        <v>2242</v>
      </c>
      <c r="H398" s="3">
        <v>211</v>
      </c>
      <c r="I398" s="3">
        <v>470</v>
      </c>
      <c r="J398" s="3">
        <v>4419</v>
      </c>
      <c r="K398" s="3">
        <v>873</v>
      </c>
      <c r="L398" s="3">
        <v>886</v>
      </c>
      <c r="M398" s="3">
        <v>568</v>
      </c>
      <c r="N398" s="3">
        <v>193</v>
      </c>
      <c r="O398" s="3">
        <v>45</v>
      </c>
      <c r="P398" s="3">
        <v>51</v>
      </c>
      <c r="Q398" s="3">
        <v>10</v>
      </c>
    </row>
    <row r="399" spans="1:17" ht="9">
      <c r="A399" s="4" t="s">
        <v>22</v>
      </c>
      <c r="C399" s="3">
        <v>28529</v>
      </c>
      <c r="D399" s="3">
        <v>1394</v>
      </c>
      <c r="E399" s="3">
        <v>509</v>
      </c>
      <c r="F399" s="3">
        <v>2003</v>
      </c>
      <c r="G399" s="3">
        <v>8796</v>
      </c>
      <c r="H399" s="3">
        <v>760</v>
      </c>
      <c r="I399" s="3">
        <v>1623</v>
      </c>
      <c r="J399" s="3">
        <v>17106</v>
      </c>
      <c r="K399" s="3">
        <v>2768</v>
      </c>
      <c r="L399" s="3">
        <v>3582</v>
      </c>
      <c r="M399" s="3">
        <v>2074</v>
      </c>
      <c r="N399" s="3">
        <v>655</v>
      </c>
      <c r="O399" s="3">
        <v>113</v>
      </c>
      <c r="P399" s="3">
        <v>132</v>
      </c>
      <c r="Q399" s="3">
        <v>35</v>
      </c>
    </row>
    <row r="400" spans="2:17" s="6" customFormat="1" ht="9">
      <c r="B400" s="10" t="s">
        <v>154</v>
      </c>
      <c r="C400" s="7">
        <f>C399/28529</f>
        <v>1</v>
      </c>
      <c r="D400" s="7">
        <f aca="true" t="shared" si="64" ref="D400:M400">D399/40615</f>
        <v>0.034322294718699985</v>
      </c>
      <c r="E400" s="7">
        <f t="shared" si="64"/>
        <v>0.012532315646928475</v>
      </c>
      <c r="F400" s="7">
        <f t="shared" si="64"/>
        <v>0.04931675489351225</v>
      </c>
      <c r="G400" s="7">
        <f t="shared" si="64"/>
        <v>0.21657023267265788</v>
      </c>
      <c r="H400" s="7">
        <f t="shared" si="64"/>
        <v>0.01871229841191678</v>
      </c>
      <c r="I400" s="7">
        <f t="shared" si="64"/>
        <v>0.03996060568755386</v>
      </c>
      <c r="J400" s="7">
        <f t="shared" si="64"/>
        <v>0.42117444293980055</v>
      </c>
      <c r="K400" s="7">
        <f t="shared" si="64"/>
        <v>0.06815216053182321</v>
      </c>
      <c r="L400" s="7">
        <f t="shared" si="64"/>
        <v>0.08819401698879724</v>
      </c>
      <c r="M400" s="7">
        <f t="shared" si="64"/>
        <v>0.051064877508309736</v>
      </c>
      <c r="N400" s="7">
        <f>N399/655</f>
        <v>1</v>
      </c>
      <c r="O400" s="7">
        <f>O399/245</f>
        <v>0.46122448979591835</v>
      </c>
      <c r="P400" s="7">
        <f>P399/245</f>
        <v>0.5387755102040817</v>
      </c>
      <c r="Q400" s="7">
        <f>Q399/35</f>
        <v>1</v>
      </c>
    </row>
    <row r="401" spans="2:17" ht="4.5" customHeight="1">
      <c r="B401" s="1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9">
      <c r="A402" s="5" t="s">
        <v>138</v>
      </c>
      <c r="B402" s="1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9">
      <c r="B403" s="9" t="s">
        <v>133</v>
      </c>
      <c r="C403" s="3">
        <v>16863</v>
      </c>
      <c r="D403" s="3">
        <v>1445</v>
      </c>
      <c r="E403" s="3">
        <v>423</v>
      </c>
      <c r="F403" s="3">
        <v>1395</v>
      </c>
      <c r="G403" s="3">
        <v>7752</v>
      </c>
      <c r="H403" s="3">
        <v>718</v>
      </c>
      <c r="I403" s="3">
        <v>1366</v>
      </c>
      <c r="J403" s="3">
        <v>10833</v>
      </c>
      <c r="K403" s="3">
        <v>1629</v>
      </c>
      <c r="L403" s="3">
        <v>2310</v>
      </c>
      <c r="M403" s="3">
        <v>1468</v>
      </c>
      <c r="N403" s="3">
        <v>368</v>
      </c>
      <c r="O403" s="3">
        <v>93</v>
      </c>
      <c r="P403" s="3">
        <v>117</v>
      </c>
      <c r="Q403" s="3">
        <v>38</v>
      </c>
    </row>
    <row r="404" spans="2:17" ht="9">
      <c r="B404" s="9" t="s">
        <v>137</v>
      </c>
      <c r="C404" s="3">
        <v>4815</v>
      </c>
      <c r="D404" s="3">
        <v>296</v>
      </c>
      <c r="E404" s="3">
        <v>114</v>
      </c>
      <c r="F404" s="3">
        <v>319</v>
      </c>
      <c r="G404" s="3">
        <v>2705</v>
      </c>
      <c r="H404" s="3">
        <v>262</v>
      </c>
      <c r="I404" s="3">
        <v>277</v>
      </c>
      <c r="J404" s="3">
        <v>4546</v>
      </c>
      <c r="K404" s="3">
        <v>749</v>
      </c>
      <c r="L404" s="3">
        <v>2622</v>
      </c>
      <c r="M404" s="3">
        <v>481</v>
      </c>
      <c r="N404" s="3">
        <v>124</v>
      </c>
      <c r="O404" s="3">
        <v>62</v>
      </c>
      <c r="P404" s="3">
        <v>64</v>
      </c>
      <c r="Q404" s="3">
        <v>13</v>
      </c>
    </row>
    <row r="405" spans="1:17" ht="9">
      <c r="A405" s="4" t="s">
        <v>22</v>
      </c>
      <c r="C405" s="3">
        <v>21678</v>
      </c>
      <c r="D405" s="3">
        <v>1741</v>
      </c>
      <c r="E405" s="3">
        <v>537</v>
      </c>
      <c r="F405" s="3">
        <v>1714</v>
      </c>
      <c r="G405" s="3">
        <v>10457</v>
      </c>
      <c r="H405" s="3">
        <v>980</v>
      </c>
      <c r="I405" s="3">
        <v>1643</v>
      </c>
      <c r="J405" s="3">
        <v>15379</v>
      </c>
      <c r="K405" s="3">
        <v>2378</v>
      </c>
      <c r="L405" s="3">
        <v>4932</v>
      </c>
      <c r="M405" s="3">
        <v>1949</v>
      </c>
      <c r="N405" s="3">
        <v>492</v>
      </c>
      <c r="O405" s="3">
        <v>155</v>
      </c>
      <c r="P405" s="3">
        <v>181</v>
      </c>
      <c r="Q405" s="3">
        <v>51</v>
      </c>
    </row>
    <row r="406" spans="2:17" s="6" customFormat="1" ht="9">
      <c r="B406" s="10" t="s">
        <v>154</v>
      </c>
      <c r="C406" s="7">
        <f>C405/21678</f>
        <v>1</v>
      </c>
      <c r="D406" s="7">
        <f aca="true" t="shared" si="65" ref="D406:M406">D405/41773</f>
        <v>0.041677638666124055</v>
      </c>
      <c r="E406" s="7">
        <f t="shared" si="65"/>
        <v>0.012855193546070428</v>
      </c>
      <c r="F406" s="7">
        <f t="shared" si="65"/>
        <v>0.041031288152634474</v>
      </c>
      <c r="G406" s="7">
        <f t="shared" si="65"/>
        <v>0.2503291599837215</v>
      </c>
      <c r="H406" s="7">
        <f t="shared" si="65"/>
        <v>0.023460129748880856</v>
      </c>
      <c r="I406" s="7">
        <f t="shared" si="65"/>
        <v>0.039331625691235966</v>
      </c>
      <c r="J406" s="7">
        <f t="shared" si="65"/>
        <v>0.3681564647020803</v>
      </c>
      <c r="K406" s="7">
        <f t="shared" si="65"/>
        <v>0.056926723002896605</v>
      </c>
      <c r="L406" s="7">
        <f t="shared" si="65"/>
        <v>0.11806669379742896</v>
      </c>
      <c r="M406" s="7">
        <f t="shared" si="65"/>
        <v>0.046656931510784476</v>
      </c>
      <c r="N406" s="7">
        <f>N405/492</f>
        <v>1</v>
      </c>
      <c r="O406" s="7">
        <f>O405/336</f>
        <v>0.46130952380952384</v>
      </c>
      <c r="P406" s="7">
        <f>P405/336</f>
        <v>0.5386904761904762</v>
      </c>
      <c r="Q406" s="7">
        <f>Q405/51</f>
        <v>1</v>
      </c>
    </row>
    <row r="407" spans="2:17" ht="4.5" customHeight="1">
      <c r="B407" s="1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9">
      <c r="A408" s="5" t="s">
        <v>139</v>
      </c>
      <c r="B408" s="1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9">
      <c r="B409" s="9" t="s">
        <v>125</v>
      </c>
      <c r="C409" s="3">
        <v>29432</v>
      </c>
      <c r="D409" s="3">
        <v>1514</v>
      </c>
      <c r="E409" s="3">
        <v>628</v>
      </c>
      <c r="F409" s="3">
        <v>673</v>
      </c>
      <c r="G409" s="3">
        <v>14290</v>
      </c>
      <c r="H409" s="3">
        <v>1273</v>
      </c>
      <c r="I409" s="3">
        <v>2930</v>
      </c>
      <c r="J409" s="3">
        <v>18974</v>
      </c>
      <c r="K409" s="3">
        <v>2385</v>
      </c>
      <c r="L409" s="3">
        <v>3640</v>
      </c>
      <c r="M409" s="3">
        <v>2414</v>
      </c>
      <c r="N409" s="3">
        <v>421</v>
      </c>
      <c r="O409" s="3">
        <v>108</v>
      </c>
      <c r="P409" s="3">
        <v>318</v>
      </c>
      <c r="Q409" s="3">
        <v>51</v>
      </c>
    </row>
    <row r="410" spans="1:17" ht="9">
      <c r="A410" s="4" t="s">
        <v>22</v>
      </c>
      <c r="C410" s="3">
        <v>29432</v>
      </c>
      <c r="D410" s="3">
        <v>1514</v>
      </c>
      <c r="E410" s="3">
        <v>628</v>
      </c>
      <c r="F410" s="3">
        <v>673</v>
      </c>
      <c r="G410" s="3">
        <v>14290</v>
      </c>
      <c r="H410" s="3">
        <v>1273</v>
      </c>
      <c r="I410" s="3">
        <v>2930</v>
      </c>
      <c r="J410" s="3">
        <v>18974</v>
      </c>
      <c r="K410" s="3">
        <v>2385</v>
      </c>
      <c r="L410" s="3">
        <v>3640</v>
      </c>
      <c r="M410" s="3">
        <v>2414</v>
      </c>
      <c r="N410" s="3">
        <v>421</v>
      </c>
      <c r="O410" s="3">
        <v>108</v>
      </c>
      <c r="P410" s="3">
        <v>318</v>
      </c>
      <c r="Q410" s="3">
        <v>51</v>
      </c>
    </row>
    <row r="411" spans="2:17" s="6" customFormat="1" ht="9">
      <c r="B411" s="10" t="s">
        <v>154</v>
      </c>
      <c r="C411" s="7">
        <f>C410/29432</f>
        <v>1</v>
      </c>
      <c r="D411" s="7">
        <f aca="true" t="shared" si="66" ref="D411:M411">D410/48722</f>
        <v>0.031074258035384425</v>
      </c>
      <c r="E411" s="7">
        <f t="shared" si="66"/>
        <v>0.012889454455892615</v>
      </c>
      <c r="F411" s="7">
        <f t="shared" si="66"/>
        <v>0.013813061861171545</v>
      </c>
      <c r="G411" s="7">
        <f t="shared" si="66"/>
        <v>0.29329666269857557</v>
      </c>
      <c r="H411" s="7">
        <f t="shared" si="66"/>
        <v>0.026127827264890605</v>
      </c>
      <c r="I411" s="7">
        <f t="shared" si="66"/>
        <v>0.0601371043881614</v>
      </c>
      <c r="J411" s="7">
        <f t="shared" si="66"/>
        <v>0.38943393128360904</v>
      </c>
      <c r="K411" s="7">
        <f t="shared" si="66"/>
        <v>0.04895119247978326</v>
      </c>
      <c r="L411" s="7">
        <f t="shared" si="66"/>
        <v>0.07470957678256229</v>
      </c>
      <c r="M411" s="7">
        <f t="shared" si="66"/>
        <v>0.04954640614096301</v>
      </c>
      <c r="N411" s="7">
        <f>N410/421</f>
        <v>1</v>
      </c>
      <c r="O411" s="7">
        <f>O410/426</f>
        <v>0.2535211267605634</v>
      </c>
      <c r="P411" s="7">
        <f>P410/426</f>
        <v>0.7464788732394366</v>
      </c>
      <c r="Q411" s="7">
        <f>Q410/51</f>
        <v>1</v>
      </c>
    </row>
    <row r="412" spans="2:17" ht="4.5" customHeight="1">
      <c r="B412" s="1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9">
      <c r="A413" s="5" t="s">
        <v>140</v>
      </c>
      <c r="B413" s="1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9">
      <c r="B414" s="9" t="s">
        <v>125</v>
      </c>
      <c r="C414" s="3">
        <v>20767</v>
      </c>
      <c r="D414" s="3">
        <v>1295</v>
      </c>
      <c r="E414" s="3">
        <v>447</v>
      </c>
      <c r="F414" s="3">
        <v>743</v>
      </c>
      <c r="G414" s="3">
        <v>10528</v>
      </c>
      <c r="H414" s="3">
        <v>1062</v>
      </c>
      <c r="I414" s="3">
        <v>1716</v>
      </c>
      <c r="J414" s="3">
        <v>13722</v>
      </c>
      <c r="K414" s="3">
        <v>1766</v>
      </c>
      <c r="L414" s="3">
        <v>2964</v>
      </c>
      <c r="M414" s="3">
        <v>1740</v>
      </c>
      <c r="N414" s="3">
        <v>354</v>
      </c>
      <c r="O414" s="3">
        <v>138</v>
      </c>
      <c r="P414" s="3">
        <v>263</v>
      </c>
      <c r="Q414" s="3">
        <v>38</v>
      </c>
    </row>
    <row r="415" spans="1:17" ht="9">
      <c r="A415" s="4" t="s">
        <v>22</v>
      </c>
      <c r="C415" s="3">
        <v>20767</v>
      </c>
      <c r="D415" s="3">
        <v>1295</v>
      </c>
      <c r="E415" s="3">
        <v>447</v>
      </c>
      <c r="F415" s="3">
        <v>743</v>
      </c>
      <c r="G415" s="3">
        <v>10528</v>
      </c>
      <c r="H415" s="3">
        <v>1062</v>
      </c>
      <c r="I415" s="3">
        <v>1716</v>
      </c>
      <c r="J415" s="3">
        <v>13722</v>
      </c>
      <c r="K415" s="3">
        <v>1766</v>
      </c>
      <c r="L415" s="3">
        <v>2964</v>
      </c>
      <c r="M415" s="3">
        <v>1740</v>
      </c>
      <c r="N415" s="3">
        <v>354</v>
      </c>
      <c r="O415" s="3">
        <v>138</v>
      </c>
      <c r="P415" s="3">
        <v>263</v>
      </c>
      <c r="Q415" s="3">
        <v>38</v>
      </c>
    </row>
    <row r="416" spans="2:17" s="6" customFormat="1" ht="9">
      <c r="B416" s="10" t="s">
        <v>154</v>
      </c>
      <c r="C416" s="7">
        <f>C415/20767</f>
        <v>1</v>
      </c>
      <c r="D416" s="7">
        <f aca="true" t="shared" si="67" ref="D416:M416">D415/35983</f>
        <v>0.035989217130311536</v>
      </c>
      <c r="E416" s="7">
        <f t="shared" si="67"/>
        <v>0.012422532862740738</v>
      </c>
      <c r="F416" s="7">
        <f t="shared" si="67"/>
        <v>0.020648639635383374</v>
      </c>
      <c r="G416" s="7">
        <f t="shared" si="67"/>
        <v>0.29258260845399214</v>
      </c>
      <c r="H416" s="7">
        <f t="shared" si="67"/>
        <v>0.029513937136981354</v>
      </c>
      <c r="I416" s="7">
        <f t="shared" si="67"/>
        <v>0.04768918656032015</v>
      </c>
      <c r="J416" s="7">
        <f t="shared" si="67"/>
        <v>0.38134674707500765</v>
      </c>
      <c r="K416" s="7">
        <f t="shared" si="67"/>
        <v>0.04907873162326654</v>
      </c>
      <c r="L416" s="7">
        <f t="shared" si="67"/>
        <v>0.08237223133146208</v>
      </c>
      <c r="M416" s="7">
        <f t="shared" si="67"/>
        <v>0.04835616819053442</v>
      </c>
      <c r="N416" s="7">
        <f>N415/354</f>
        <v>1</v>
      </c>
      <c r="O416" s="7">
        <f>O415/401</f>
        <v>0.34413965087281795</v>
      </c>
      <c r="P416" s="7">
        <f>P415/401</f>
        <v>0.655860349127182</v>
      </c>
      <c r="Q416" s="7">
        <f>Q415/38</f>
        <v>1</v>
      </c>
    </row>
    <row r="417" spans="2:17" ht="4.5" customHeight="1">
      <c r="B417" s="1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9">
      <c r="A418" s="5" t="s">
        <v>141</v>
      </c>
      <c r="B418" s="1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9">
      <c r="B419" s="9" t="s">
        <v>125</v>
      </c>
      <c r="C419" s="3">
        <v>15256</v>
      </c>
      <c r="D419" s="3">
        <v>487</v>
      </c>
      <c r="E419" s="3">
        <v>180</v>
      </c>
      <c r="F419" s="3">
        <v>249</v>
      </c>
      <c r="G419" s="3">
        <v>2808</v>
      </c>
      <c r="H419" s="3">
        <v>286</v>
      </c>
      <c r="I419" s="3">
        <v>513</v>
      </c>
      <c r="J419" s="3">
        <v>4396</v>
      </c>
      <c r="K419" s="3">
        <v>546</v>
      </c>
      <c r="L419" s="3">
        <v>1140</v>
      </c>
      <c r="M419" s="3">
        <v>740</v>
      </c>
      <c r="N419" s="3">
        <v>186</v>
      </c>
      <c r="O419" s="3">
        <v>47</v>
      </c>
      <c r="P419" s="3">
        <v>102</v>
      </c>
      <c r="Q419" s="3">
        <v>24</v>
      </c>
    </row>
    <row r="420" spans="1:17" ht="9">
      <c r="A420" s="4" t="s">
        <v>22</v>
      </c>
      <c r="C420" s="3">
        <v>15256</v>
      </c>
      <c r="D420" s="3">
        <v>487</v>
      </c>
      <c r="E420" s="3">
        <v>180</v>
      </c>
      <c r="F420" s="3">
        <v>249</v>
      </c>
      <c r="G420" s="3">
        <v>2808</v>
      </c>
      <c r="H420" s="3">
        <v>286</v>
      </c>
      <c r="I420" s="3">
        <v>513</v>
      </c>
      <c r="J420" s="3">
        <v>4396</v>
      </c>
      <c r="K420" s="3">
        <v>546</v>
      </c>
      <c r="L420" s="3">
        <v>1140</v>
      </c>
      <c r="M420" s="3">
        <v>740</v>
      </c>
      <c r="N420" s="3">
        <v>186</v>
      </c>
      <c r="O420" s="3">
        <v>47</v>
      </c>
      <c r="P420" s="3">
        <v>102</v>
      </c>
      <c r="Q420" s="3">
        <v>24</v>
      </c>
    </row>
    <row r="421" spans="2:17" s="6" customFormat="1" ht="9">
      <c r="B421" s="10" t="s">
        <v>154</v>
      </c>
      <c r="C421" s="7">
        <f>C420/15256</f>
        <v>1</v>
      </c>
      <c r="D421" s="7">
        <f aca="true" t="shared" si="68" ref="D421:M421">D420/11345</f>
        <v>0.04292639929484354</v>
      </c>
      <c r="E421" s="7">
        <f t="shared" si="68"/>
        <v>0.015866020273248127</v>
      </c>
      <c r="F421" s="7">
        <f t="shared" si="68"/>
        <v>0.021947994711326576</v>
      </c>
      <c r="G421" s="7">
        <f t="shared" si="68"/>
        <v>0.24750991626267077</v>
      </c>
      <c r="H421" s="7">
        <f t="shared" si="68"/>
        <v>0.0252093433230498</v>
      </c>
      <c r="I421" s="7">
        <f t="shared" si="68"/>
        <v>0.045218157778757165</v>
      </c>
      <c r="J421" s="7">
        <f t="shared" si="68"/>
        <v>0.3874834728955487</v>
      </c>
      <c r="K421" s="7">
        <f t="shared" si="68"/>
        <v>0.048126928162185986</v>
      </c>
      <c r="L421" s="7">
        <f t="shared" si="68"/>
        <v>0.1004847950639048</v>
      </c>
      <c r="M421" s="7">
        <f t="shared" si="68"/>
        <v>0.06522697223446453</v>
      </c>
      <c r="N421" s="7">
        <f>N420/186</f>
        <v>1</v>
      </c>
      <c r="O421" s="7">
        <f>O420/149</f>
        <v>0.31543624161073824</v>
      </c>
      <c r="P421" s="7">
        <f>P420/149</f>
        <v>0.6845637583892618</v>
      </c>
      <c r="Q421" s="7">
        <f>Q420/24</f>
        <v>1</v>
      </c>
    </row>
    <row r="422" spans="2:17" ht="4.5" customHeight="1">
      <c r="B422" s="1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9">
      <c r="A423" s="5" t="s">
        <v>142</v>
      </c>
      <c r="B423" s="1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9">
      <c r="B424" s="9" t="s">
        <v>125</v>
      </c>
      <c r="C424" s="3">
        <v>30132</v>
      </c>
      <c r="D424" s="3">
        <v>1926</v>
      </c>
      <c r="E424" s="3">
        <v>1057</v>
      </c>
      <c r="F424" s="3">
        <v>640</v>
      </c>
      <c r="G424" s="3">
        <v>12811</v>
      </c>
      <c r="H424" s="3">
        <v>2468</v>
      </c>
      <c r="I424" s="3">
        <v>1267</v>
      </c>
      <c r="J424" s="3">
        <v>21058</v>
      </c>
      <c r="K424" s="3">
        <v>2726</v>
      </c>
      <c r="L424" s="3">
        <v>4900</v>
      </c>
      <c r="M424" s="3">
        <v>2947</v>
      </c>
      <c r="N424" s="3">
        <v>387</v>
      </c>
      <c r="O424" s="3">
        <v>147</v>
      </c>
      <c r="P424" s="3">
        <v>349</v>
      </c>
      <c r="Q424" s="3">
        <v>30</v>
      </c>
    </row>
    <row r="425" spans="1:17" ht="9">
      <c r="A425" s="4" t="s">
        <v>22</v>
      </c>
      <c r="C425" s="3">
        <v>30132</v>
      </c>
      <c r="D425" s="3">
        <v>1926</v>
      </c>
      <c r="E425" s="3">
        <v>1057</v>
      </c>
      <c r="F425" s="3">
        <v>640</v>
      </c>
      <c r="G425" s="3">
        <v>12811</v>
      </c>
      <c r="H425" s="3">
        <v>2468</v>
      </c>
      <c r="I425" s="3">
        <v>1267</v>
      </c>
      <c r="J425" s="3">
        <v>21058</v>
      </c>
      <c r="K425" s="3">
        <v>2726</v>
      </c>
      <c r="L425" s="3">
        <v>4900</v>
      </c>
      <c r="M425" s="3">
        <v>2947</v>
      </c>
      <c r="N425" s="3">
        <v>387</v>
      </c>
      <c r="O425" s="3">
        <v>147</v>
      </c>
      <c r="P425" s="3">
        <v>349</v>
      </c>
      <c r="Q425" s="3">
        <v>30</v>
      </c>
    </row>
    <row r="426" spans="2:17" s="6" customFormat="1" ht="9">
      <c r="B426" s="10" t="s">
        <v>154</v>
      </c>
      <c r="C426" s="7">
        <f>C425/30132</f>
        <v>1</v>
      </c>
      <c r="D426" s="7">
        <f aca="true" t="shared" si="69" ref="D426:M426">D425/51800</f>
        <v>0.037181467181467184</v>
      </c>
      <c r="E426" s="7">
        <f t="shared" si="69"/>
        <v>0.020405405405405405</v>
      </c>
      <c r="F426" s="7">
        <f t="shared" si="69"/>
        <v>0.012355212355212355</v>
      </c>
      <c r="G426" s="7">
        <f t="shared" si="69"/>
        <v>0.24731660231660232</v>
      </c>
      <c r="H426" s="7">
        <f t="shared" si="69"/>
        <v>0.04764478764478765</v>
      </c>
      <c r="I426" s="7">
        <f t="shared" si="69"/>
        <v>0.02445945945945946</v>
      </c>
      <c r="J426" s="7">
        <f t="shared" si="69"/>
        <v>0.40652509652509655</v>
      </c>
      <c r="K426" s="7">
        <f t="shared" si="69"/>
        <v>0.052625482625482625</v>
      </c>
      <c r="L426" s="7">
        <f t="shared" si="69"/>
        <v>0.0945945945945946</v>
      </c>
      <c r="M426" s="7">
        <f t="shared" si="69"/>
        <v>0.056891891891891894</v>
      </c>
      <c r="N426" s="7">
        <f>N425/387</f>
        <v>1</v>
      </c>
      <c r="O426" s="7">
        <f>O425/496</f>
        <v>0.2963709677419355</v>
      </c>
      <c r="P426" s="7">
        <f>P425/496</f>
        <v>0.7036290322580645</v>
      </c>
      <c r="Q426" s="7">
        <f>Q425/30</f>
        <v>1</v>
      </c>
    </row>
    <row r="427" spans="2:17" ht="4.5" customHeight="1">
      <c r="B427" s="1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9">
      <c r="A428" s="5" t="s">
        <v>143</v>
      </c>
      <c r="B428" s="1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9">
      <c r="B429" s="9" t="s">
        <v>125</v>
      </c>
      <c r="C429" s="3">
        <v>14998</v>
      </c>
      <c r="D429" s="3">
        <v>1626</v>
      </c>
      <c r="E429" s="3">
        <v>385</v>
      </c>
      <c r="F429" s="3">
        <v>401</v>
      </c>
      <c r="G429" s="3">
        <v>9387</v>
      </c>
      <c r="H429" s="3">
        <v>1804</v>
      </c>
      <c r="I429" s="3">
        <v>991</v>
      </c>
      <c r="J429" s="3">
        <v>11592</v>
      </c>
      <c r="K429" s="3">
        <v>2340</v>
      </c>
      <c r="L429" s="3">
        <v>3786</v>
      </c>
      <c r="M429" s="3">
        <v>2559</v>
      </c>
      <c r="N429" s="3">
        <v>254</v>
      </c>
      <c r="O429" s="3">
        <v>74</v>
      </c>
      <c r="P429" s="3">
        <v>218</v>
      </c>
      <c r="Q429" s="3">
        <v>15</v>
      </c>
    </row>
    <row r="430" spans="2:17" ht="9">
      <c r="B430" s="9" t="s">
        <v>133</v>
      </c>
      <c r="C430" s="3">
        <v>7791</v>
      </c>
      <c r="D430" s="3">
        <v>818</v>
      </c>
      <c r="E430" s="3">
        <v>186</v>
      </c>
      <c r="F430" s="3">
        <v>237</v>
      </c>
      <c r="G430" s="3">
        <v>3919</v>
      </c>
      <c r="H430" s="3">
        <v>787</v>
      </c>
      <c r="I430" s="3">
        <v>377</v>
      </c>
      <c r="J430" s="3">
        <v>4300</v>
      </c>
      <c r="K430" s="3">
        <v>950</v>
      </c>
      <c r="L430" s="3">
        <v>853</v>
      </c>
      <c r="M430" s="3">
        <v>964</v>
      </c>
      <c r="N430" s="3">
        <v>165</v>
      </c>
      <c r="O430" s="3">
        <v>34</v>
      </c>
      <c r="P430" s="3">
        <v>61</v>
      </c>
      <c r="Q430" s="3">
        <v>14</v>
      </c>
    </row>
    <row r="431" spans="1:17" ht="9">
      <c r="A431" s="4" t="s">
        <v>22</v>
      </c>
      <c r="C431" s="3">
        <v>22789</v>
      </c>
      <c r="D431" s="3">
        <v>2444</v>
      </c>
      <c r="E431" s="3">
        <v>571</v>
      </c>
      <c r="F431" s="3">
        <v>638</v>
      </c>
      <c r="G431" s="3">
        <v>13306</v>
      </c>
      <c r="H431" s="3">
        <v>2591</v>
      </c>
      <c r="I431" s="3">
        <v>1368</v>
      </c>
      <c r="J431" s="3">
        <v>15892</v>
      </c>
      <c r="K431" s="3">
        <v>3290</v>
      </c>
      <c r="L431" s="3">
        <v>4639</v>
      </c>
      <c r="M431" s="3">
        <v>3523</v>
      </c>
      <c r="N431" s="3">
        <v>419</v>
      </c>
      <c r="O431" s="3">
        <v>108</v>
      </c>
      <c r="P431" s="3">
        <v>279</v>
      </c>
      <c r="Q431" s="3">
        <v>29</v>
      </c>
    </row>
    <row r="432" spans="2:17" s="6" customFormat="1" ht="9">
      <c r="B432" s="10" t="s">
        <v>154</v>
      </c>
      <c r="C432" s="7">
        <f>C431/22789</f>
        <v>1</v>
      </c>
      <c r="D432" s="7">
        <f aca="true" t="shared" si="70" ref="D432:M432">D431/48262</f>
        <v>0.050640255273299906</v>
      </c>
      <c r="E432" s="7">
        <f t="shared" si="70"/>
        <v>0.011831254403050018</v>
      </c>
      <c r="F432" s="7">
        <f t="shared" si="70"/>
        <v>0.013219510173635573</v>
      </c>
      <c r="G432" s="7">
        <f t="shared" si="70"/>
        <v>0.2757034519912146</v>
      </c>
      <c r="H432" s="7">
        <f t="shared" si="70"/>
        <v>0.05368612987443537</v>
      </c>
      <c r="I432" s="7">
        <f t="shared" si="70"/>
        <v>0.02834528200240355</v>
      </c>
      <c r="J432" s="7">
        <f t="shared" si="70"/>
        <v>0.3292859806887406</v>
      </c>
      <c r="K432" s="7">
        <f t="shared" si="70"/>
        <v>0.06816957440636526</v>
      </c>
      <c r="L432" s="7">
        <f t="shared" si="70"/>
        <v>0.0961211719365132</v>
      </c>
      <c r="M432" s="7">
        <f t="shared" si="70"/>
        <v>0.07299738925034188</v>
      </c>
      <c r="N432" s="7">
        <f>N431/419</f>
        <v>1</v>
      </c>
      <c r="O432" s="7">
        <f>O431/387</f>
        <v>0.27906976744186046</v>
      </c>
      <c r="P432" s="7">
        <f>P431/387</f>
        <v>0.7209302325581395</v>
      </c>
      <c r="Q432" s="7">
        <f>Q431/29</f>
        <v>1</v>
      </c>
    </row>
    <row r="433" spans="2:17" ht="4.5" customHeight="1">
      <c r="B433" s="1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9">
      <c r="A434" s="5" t="s">
        <v>144</v>
      </c>
      <c r="B434" s="1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9">
      <c r="B435" s="9" t="s">
        <v>125</v>
      </c>
      <c r="C435" s="3">
        <v>21162</v>
      </c>
      <c r="D435" s="3">
        <v>2192</v>
      </c>
      <c r="E435" s="3">
        <v>396</v>
      </c>
      <c r="F435" s="3">
        <v>628</v>
      </c>
      <c r="G435" s="3">
        <v>9525</v>
      </c>
      <c r="H435" s="3">
        <v>736</v>
      </c>
      <c r="I435" s="3">
        <v>1258</v>
      </c>
      <c r="J435" s="3">
        <v>12825</v>
      </c>
      <c r="K435" s="3">
        <v>2857</v>
      </c>
      <c r="L435" s="3">
        <v>3503</v>
      </c>
      <c r="M435" s="3">
        <v>3249</v>
      </c>
      <c r="N435" s="3">
        <v>366</v>
      </c>
      <c r="O435" s="3">
        <v>104</v>
      </c>
      <c r="P435" s="3">
        <v>209</v>
      </c>
      <c r="Q435" s="3">
        <v>45</v>
      </c>
    </row>
    <row r="436" spans="1:17" ht="9">
      <c r="A436" s="4" t="s">
        <v>22</v>
      </c>
      <c r="C436" s="3">
        <v>21162</v>
      </c>
      <c r="D436" s="3">
        <v>2192</v>
      </c>
      <c r="E436" s="3">
        <v>396</v>
      </c>
      <c r="F436" s="3">
        <v>628</v>
      </c>
      <c r="G436" s="3">
        <v>9525</v>
      </c>
      <c r="H436" s="3">
        <v>736</v>
      </c>
      <c r="I436" s="3">
        <v>1258</v>
      </c>
      <c r="J436" s="3">
        <v>12825</v>
      </c>
      <c r="K436" s="3">
        <v>2857</v>
      </c>
      <c r="L436" s="3">
        <v>3503</v>
      </c>
      <c r="M436" s="3">
        <v>3249</v>
      </c>
      <c r="N436" s="3">
        <v>366</v>
      </c>
      <c r="O436" s="3">
        <v>104</v>
      </c>
      <c r="P436" s="3">
        <v>209</v>
      </c>
      <c r="Q436" s="3">
        <v>45</v>
      </c>
    </row>
    <row r="437" spans="2:17" s="6" customFormat="1" ht="9">
      <c r="B437" s="10" t="s">
        <v>154</v>
      </c>
      <c r="C437" s="7">
        <f>C436/21162</f>
        <v>1</v>
      </c>
      <c r="D437" s="7">
        <f aca="true" t="shared" si="71" ref="D437:M437">D436/37169</f>
        <v>0.05897387607952864</v>
      </c>
      <c r="E437" s="7">
        <f t="shared" si="71"/>
        <v>0.010654039656703166</v>
      </c>
      <c r="F437" s="7">
        <f t="shared" si="71"/>
        <v>0.01689580026366058</v>
      </c>
      <c r="G437" s="7">
        <f t="shared" si="71"/>
        <v>0.25626193871236785</v>
      </c>
      <c r="H437" s="7">
        <f t="shared" si="71"/>
        <v>0.019801447442761442</v>
      </c>
      <c r="I437" s="7">
        <f t="shared" si="71"/>
        <v>0.03384540880841561</v>
      </c>
      <c r="J437" s="7">
        <f t="shared" si="71"/>
        <v>0.3450456025182276</v>
      </c>
      <c r="K437" s="7">
        <f t="shared" si="71"/>
        <v>0.07686512954343673</v>
      </c>
      <c r="L437" s="7">
        <f t="shared" si="71"/>
        <v>0.09424520433694746</v>
      </c>
      <c r="M437" s="7">
        <f t="shared" si="71"/>
        <v>0.08741155263795099</v>
      </c>
      <c r="N437" s="7">
        <f>N436/366</f>
        <v>1</v>
      </c>
      <c r="O437" s="7">
        <f>O436/313</f>
        <v>0.33226837060702874</v>
      </c>
      <c r="P437" s="7">
        <f>P436/313</f>
        <v>0.6677316293929713</v>
      </c>
      <c r="Q437" s="7">
        <f>Q436/45</f>
        <v>1</v>
      </c>
    </row>
    <row r="438" spans="2:17" ht="4.5" customHeight="1">
      <c r="B438" s="1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9">
      <c r="A439" s="5" t="s">
        <v>145</v>
      </c>
      <c r="B439" s="1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9">
      <c r="B440" s="9" t="s">
        <v>125</v>
      </c>
      <c r="C440" s="3">
        <v>14369</v>
      </c>
      <c r="D440" s="3">
        <v>836</v>
      </c>
      <c r="E440" s="3">
        <v>290</v>
      </c>
      <c r="F440" s="3">
        <v>386</v>
      </c>
      <c r="G440" s="3">
        <v>7982</v>
      </c>
      <c r="H440" s="3">
        <v>580</v>
      </c>
      <c r="I440" s="3">
        <v>736</v>
      </c>
      <c r="J440" s="3">
        <v>12291</v>
      </c>
      <c r="K440" s="3">
        <v>2179</v>
      </c>
      <c r="L440" s="3">
        <v>3985</v>
      </c>
      <c r="M440" s="3">
        <v>2994</v>
      </c>
      <c r="N440" s="3">
        <v>233</v>
      </c>
      <c r="O440" s="3">
        <v>76</v>
      </c>
      <c r="P440" s="3">
        <v>208</v>
      </c>
      <c r="Q440" s="3">
        <v>17</v>
      </c>
    </row>
    <row r="441" spans="2:17" ht="9">
      <c r="B441" s="9" t="s">
        <v>137</v>
      </c>
      <c r="C441" s="3">
        <v>10752</v>
      </c>
      <c r="D441" s="3">
        <v>436</v>
      </c>
      <c r="E441" s="3">
        <v>122</v>
      </c>
      <c r="F441" s="3">
        <v>277</v>
      </c>
      <c r="G441" s="3">
        <v>2832</v>
      </c>
      <c r="H441" s="3">
        <v>216</v>
      </c>
      <c r="I441" s="3">
        <v>384</v>
      </c>
      <c r="J441" s="3">
        <v>4987</v>
      </c>
      <c r="K441" s="3">
        <v>1032</v>
      </c>
      <c r="L441" s="3">
        <v>3842</v>
      </c>
      <c r="M441" s="3">
        <v>1520</v>
      </c>
      <c r="N441" s="3">
        <v>207</v>
      </c>
      <c r="O441" s="3">
        <v>73</v>
      </c>
      <c r="P441" s="3">
        <v>106</v>
      </c>
      <c r="Q441" s="3">
        <v>16</v>
      </c>
    </row>
    <row r="442" spans="1:17" ht="9">
      <c r="A442" s="4" t="s">
        <v>22</v>
      </c>
      <c r="C442" s="3">
        <v>25121</v>
      </c>
      <c r="D442" s="3">
        <v>1272</v>
      </c>
      <c r="E442" s="3">
        <v>412</v>
      </c>
      <c r="F442" s="3">
        <v>663</v>
      </c>
      <c r="G442" s="3">
        <v>10814</v>
      </c>
      <c r="H442" s="3">
        <v>796</v>
      </c>
      <c r="I442" s="3">
        <v>1120</v>
      </c>
      <c r="J442" s="3">
        <v>17278</v>
      </c>
      <c r="K442" s="3">
        <v>3211</v>
      </c>
      <c r="L442" s="3">
        <v>7827</v>
      </c>
      <c r="M442" s="3">
        <v>4514</v>
      </c>
      <c r="N442" s="3">
        <v>440</v>
      </c>
      <c r="O442" s="3">
        <v>149</v>
      </c>
      <c r="P442" s="3">
        <v>314</v>
      </c>
      <c r="Q442" s="3">
        <v>33</v>
      </c>
    </row>
    <row r="443" spans="2:17" s="6" customFormat="1" ht="9">
      <c r="B443" s="10" t="s">
        <v>154</v>
      </c>
      <c r="C443" s="7">
        <f>C442/25121</f>
        <v>1</v>
      </c>
      <c r="D443" s="7">
        <f aca="true" t="shared" si="72" ref="D443:M443">D442/48026</f>
        <v>0.026485653604297672</v>
      </c>
      <c r="E443" s="7">
        <f t="shared" si="72"/>
        <v>0.008578686544788239</v>
      </c>
      <c r="F443" s="7">
        <f t="shared" si="72"/>
        <v>0.013805022279598551</v>
      </c>
      <c r="G443" s="7">
        <f t="shared" si="72"/>
        <v>0.22516969974597092</v>
      </c>
      <c r="H443" s="7">
        <f t="shared" si="72"/>
        <v>0.016574355557406405</v>
      </c>
      <c r="I443" s="7">
        <f t="shared" si="72"/>
        <v>0.023320701286802983</v>
      </c>
      <c r="J443" s="7">
        <f t="shared" si="72"/>
        <v>0.35976346145837673</v>
      </c>
      <c r="K443" s="7">
        <f t="shared" si="72"/>
        <v>0.06685961770707534</v>
      </c>
      <c r="L443" s="7">
        <f t="shared" si="72"/>
        <v>0.1629742222962562</v>
      </c>
      <c r="M443" s="7">
        <f t="shared" si="72"/>
        <v>0.09399075500770417</v>
      </c>
      <c r="N443" s="7">
        <f>N442/440</f>
        <v>1</v>
      </c>
      <c r="O443" s="7">
        <f>O442/463</f>
        <v>0.32181425485961124</v>
      </c>
      <c r="P443" s="7">
        <f>P442/463</f>
        <v>0.6781857451403888</v>
      </c>
      <c r="Q443" s="7">
        <f>Q442/33</f>
        <v>1</v>
      </c>
    </row>
    <row r="444" spans="2:17" ht="4.5" customHeight="1">
      <c r="B444" s="1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9">
      <c r="A445" s="5" t="s">
        <v>146</v>
      </c>
      <c r="B445" s="1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9">
      <c r="B446" s="9" t="s">
        <v>137</v>
      </c>
      <c r="C446" s="3">
        <v>33978</v>
      </c>
      <c r="D446" s="3">
        <v>1139</v>
      </c>
      <c r="E446" s="3">
        <v>447</v>
      </c>
      <c r="F446" s="3">
        <v>682</v>
      </c>
      <c r="G446" s="3">
        <v>8391</v>
      </c>
      <c r="H446" s="3">
        <v>782</v>
      </c>
      <c r="I446" s="3">
        <v>1101</v>
      </c>
      <c r="J446" s="3">
        <v>13737</v>
      </c>
      <c r="K446" s="3">
        <v>3961</v>
      </c>
      <c r="L446" s="3">
        <v>17815</v>
      </c>
      <c r="M446" s="3">
        <v>1857</v>
      </c>
      <c r="N446" s="3">
        <v>587</v>
      </c>
      <c r="O446" s="3">
        <v>204</v>
      </c>
      <c r="P446" s="3">
        <v>281</v>
      </c>
      <c r="Q446" s="3">
        <v>43</v>
      </c>
    </row>
    <row r="447" spans="1:17" ht="9">
      <c r="A447" s="4" t="s">
        <v>22</v>
      </c>
      <c r="C447" s="3">
        <v>33978</v>
      </c>
      <c r="D447" s="3">
        <v>1139</v>
      </c>
      <c r="E447" s="3">
        <v>447</v>
      </c>
      <c r="F447" s="3">
        <v>682</v>
      </c>
      <c r="G447" s="3">
        <v>8391</v>
      </c>
      <c r="H447" s="3">
        <v>782</v>
      </c>
      <c r="I447" s="3">
        <v>1101</v>
      </c>
      <c r="J447" s="3">
        <v>13737</v>
      </c>
      <c r="K447" s="3">
        <v>3961</v>
      </c>
      <c r="L447" s="3">
        <v>17815</v>
      </c>
      <c r="M447" s="3">
        <v>1857</v>
      </c>
      <c r="N447" s="3">
        <v>587</v>
      </c>
      <c r="O447" s="3">
        <v>204</v>
      </c>
      <c r="P447" s="3">
        <v>281</v>
      </c>
      <c r="Q447" s="3">
        <v>43</v>
      </c>
    </row>
    <row r="448" spans="2:17" s="6" customFormat="1" ht="9">
      <c r="B448" s="10" t="s">
        <v>154</v>
      </c>
      <c r="C448" s="7">
        <f>C447/33978</f>
        <v>1</v>
      </c>
      <c r="D448" s="7">
        <f aca="true" t="shared" si="73" ref="D448:M448">D447/50237</f>
        <v>0.0226725321973844</v>
      </c>
      <c r="E448" s="7">
        <f t="shared" si="73"/>
        <v>0.008897824312757529</v>
      </c>
      <c r="F448" s="7">
        <f t="shared" si="73"/>
        <v>0.013575651412305672</v>
      </c>
      <c r="G448" s="7">
        <f t="shared" si="73"/>
        <v>0.16702828592471683</v>
      </c>
      <c r="H448" s="7">
        <f t="shared" si="73"/>
        <v>0.015566216135517646</v>
      </c>
      <c r="I448" s="7">
        <f t="shared" si="73"/>
        <v>0.02191611760256385</v>
      </c>
      <c r="J448" s="7">
        <f t="shared" si="73"/>
        <v>0.27344387602762904</v>
      </c>
      <c r="K448" s="7">
        <f t="shared" si="73"/>
        <v>0.07884626868642634</v>
      </c>
      <c r="L448" s="7">
        <f t="shared" si="73"/>
        <v>0.3546191054402134</v>
      </c>
      <c r="M448" s="7">
        <f t="shared" si="73"/>
        <v>0.03696478691004638</v>
      </c>
      <c r="N448" s="7">
        <f>N447/587</f>
        <v>1</v>
      </c>
      <c r="O448" s="7">
        <f>O447/485</f>
        <v>0.42061855670103093</v>
      </c>
      <c r="P448" s="7">
        <f>P447/485</f>
        <v>0.5793814432989691</v>
      </c>
      <c r="Q448" s="7">
        <f>Q447/43</f>
        <v>1</v>
      </c>
    </row>
    <row r="449" spans="2:17" ht="4.5" customHeight="1">
      <c r="B449" s="1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9">
      <c r="A450" s="5" t="s">
        <v>147</v>
      </c>
      <c r="B450" s="1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9">
      <c r="B451" s="9" t="s">
        <v>137</v>
      </c>
      <c r="C451" s="3">
        <v>35419</v>
      </c>
      <c r="D451" s="3">
        <v>957</v>
      </c>
      <c r="E451" s="3">
        <v>491</v>
      </c>
      <c r="F451" s="3">
        <v>837</v>
      </c>
      <c r="G451" s="3">
        <v>10741</v>
      </c>
      <c r="H451" s="3">
        <v>1298</v>
      </c>
      <c r="I451" s="3">
        <v>1247</v>
      </c>
      <c r="J451" s="3">
        <v>16224</v>
      </c>
      <c r="K451" s="3">
        <v>2710</v>
      </c>
      <c r="L451" s="3">
        <v>12978</v>
      </c>
      <c r="M451" s="3">
        <v>1829</v>
      </c>
      <c r="N451" s="3">
        <v>448</v>
      </c>
      <c r="O451" s="3">
        <v>205</v>
      </c>
      <c r="P451" s="3">
        <v>330</v>
      </c>
      <c r="Q451" s="3">
        <v>29</v>
      </c>
    </row>
    <row r="452" spans="1:17" ht="9">
      <c r="A452" s="4" t="s">
        <v>22</v>
      </c>
      <c r="C452" s="3">
        <v>35419</v>
      </c>
      <c r="D452" s="3">
        <v>957</v>
      </c>
      <c r="E452" s="3">
        <v>491</v>
      </c>
      <c r="F452" s="3">
        <v>837</v>
      </c>
      <c r="G452" s="3">
        <v>10741</v>
      </c>
      <c r="H452" s="3">
        <v>1298</v>
      </c>
      <c r="I452" s="3">
        <v>1247</v>
      </c>
      <c r="J452" s="3">
        <v>16224</v>
      </c>
      <c r="K452" s="3">
        <v>2710</v>
      </c>
      <c r="L452" s="3">
        <v>12978</v>
      </c>
      <c r="M452" s="3">
        <v>1829</v>
      </c>
      <c r="N452" s="3">
        <v>448</v>
      </c>
      <c r="O452" s="3">
        <v>205</v>
      </c>
      <c r="P452" s="3">
        <v>330</v>
      </c>
      <c r="Q452" s="3">
        <v>29</v>
      </c>
    </row>
    <row r="453" spans="2:17" s="6" customFormat="1" ht="9">
      <c r="B453" s="10" t="s">
        <v>154</v>
      </c>
      <c r="C453" s="7">
        <f>C452/35419</f>
        <v>1</v>
      </c>
      <c r="D453" s="7">
        <f aca="true" t="shared" si="74" ref="D453:M453">D452/49657</f>
        <v>0.01927220734236865</v>
      </c>
      <c r="E453" s="7">
        <f t="shared" si="74"/>
        <v>0.009887830517349015</v>
      </c>
      <c r="F453" s="7">
        <f t="shared" si="74"/>
        <v>0.01685562961918763</v>
      </c>
      <c r="G453" s="7">
        <f t="shared" si="74"/>
        <v>0.21630384437239464</v>
      </c>
      <c r="H453" s="7">
        <f t="shared" si="74"/>
        <v>0.026139315705741385</v>
      </c>
      <c r="I453" s="7">
        <f t="shared" si="74"/>
        <v>0.02511227017338945</v>
      </c>
      <c r="J453" s="7">
        <f t="shared" si="74"/>
        <v>0.32672130817407413</v>
      </c>
      <c r="K453" s="7">
        <f t="shared" si="74"/>
        <v>0.05457438024850474</v>
      </c>
      <c r="L453" s="7">
        <f t="shared" si="74"/>
        <v>0.2613528807620275</v>
      </c>
      <c r="M453" s="7">
        <f t="shared" si="74"/>
        <v>0.03683267213081741</v>
      </c>
      <c r="N453" s="7">
        <f>N452/448</f>
        <v>1</v>
      </c>
      <c r="O453" s="7">
        <f>O452/535</f>
        <v>0.38317757009345793</v>
      </c>
      <c r="P453" s="7">
        <f>P452/535</f>
        <v>0.616822429906542</v>
      </c>
      <c r="Q453" s="7">
        <f>Q452/29</f>
        <v>1</v>
      </c>
    </row>
    <row r="454" spans="2:17" ht="4.5" customHeight="1">
      <c r="B454" s="1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9">
      <c r="A455" s="5" t="s">
        <v>148</v>
      </c>
      <c r="B455" s="1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9">
      <c r="B456" s="9" t="s">
        <v>137</v>
      </c>
      <c r="C456" s="3">
        <v>45235</v>
      </c>
      <c r="D456" s="3">
        <v>863</v>
      </c>
      <c r="E456" s="3">
        <v>390</v>
      </c>
      <c r="F456" s="3">
        <v>940</v>
      </c>
      <c r="G456" s="3">
        <v>7045</v>
      </c>
      <c r="H456" s="3">
        <v>1080</v>
      </c>
      <c r="I456" s="3">
        <v>1056</v>
      </c>
      <c r="J456" s="3">
        <v>10426</v>
      </c>
      <c r="K456" s="3">
        <v>2112</v>
      </c>
      <c r="L456" s="3">
        <v>5283</v>
      </c>
      <c r="M456" s="3">
        <v>1516</v>
      </c>
      <c r="N456" s="3">
        <v>572</v>
      </c>
      <c r="O456" s="3">
        <v>283</v>
      </c>
      <c r="P456" s="3">
        <v>382</v>
      </c>
      <c r="Q456" s="3">
        <v>88</v>
      </c>
    </row>
    <row r="457" spans="1:17" ht="9">
      <c r="A457" s="4" t="s">
        <v>22</v>
      </c>
      <c r="C457" s="3">
        <v>45235</v>
      </c>
      <c r="D457" s="3">
        <v>863</v>
      </c>
      <c r="E457" s="3">
        <v>390</v>
      </c>
      <c r="F457" s="3">
        <v>940</v>
      </c>
      <c r="G457" s="3">
        <v>7045</v>
      </c>
      <c r="H457" s="3">
        <v>1080</v>
      </c>
      <c r="I457" s="3">
        <v>1056</v>
      </c>
      <c r="J457" s="3">
        <v>10426</v>
      </c>
      <c r="K457" s="3">
        <v>2112</v>
      </c>
      <c r="L457" s="3">
        <v>5283</v>
      </c>
      <c r="M457" s="3">
        <v>1516</v>
      </c>
      <c r="N457" s="3">
        <v>572</v>
      </c>
      <c r="O457" s="3">
        <v>283</v>
      </c>
      <c r="P457" s="3">
        <v>382</v>
      </c>
      <c r="Q457" s="3">
        <v>88</v>
      </c>
    </row>
    <row r="458" spans="2:17" s="6" customFormat="1" ht="9">
      <c r="B458" s="10" t="s">
        <v>154</v>
      </c>
      <c r="C458" s="7">
        <f>C457/45235</f>
        <v>1</v>
      </c>
      <c r="D458" s="7">
        <f aca="true" t="shared" si="75" ref="D458:M458">D457/31078</f>
        <v>0.027768839693673983</v>
      </c>
      <c r="E458" s="7">
        <f t="shared" si="75"/>
        <v>0.01254907008172984</v>
      </c>
      <c r="F458" s="7">
        <f t="shared" si="75"/>
        <v>0.030246476607246282</v>
      </c>
      <c r="G458" s="7">
        <f t="shared" si="75"/>
        <v>0.22668768904047878</v>
      </c>
      <c r="H458" s="7">
        <f t="shared" si="75"/>
        <v>0.03475127099555956</v>
      </c>
      <c r="I458" s="7">
        <f t="shared" si="75"/>
        <v>0.03397902052899157</v>
      </c>
      <c r="J458" s="7">
        <f t="shared" si="75"/>
        <v>0.3354784735182444</v>
      </c>
      <c r="K458" s="7">
        <f t="shared" si="75"/>
        <v>0.06795804105798314</v>
      </c>
      <c r="L458" s="7">
        <f t="shared" si="75"/>
        <v>0.16999163395327885</v>
      </c>
      <c r="M458" s="7">
        <f t="shared" si="75"/>
        <v>0.04878048780487805</v>
      </c>
      <c r="N458" s="7">
        <f>N457/572</f>
        <v>1</v>
      </c>
      <c r="O458" s="7">
        <f>O457/665</f>
        <v>0.4255639097744361</v>
      </c>
      <c r="P458" s="7">
        <f>P457/665</f>
        <v>0.5744360902255639</v>
      </c>
      <c r="Q458" s="7">
        <f>Q457/88</f>
        <v>1</v>
      </c>
    </row>
    <row r="459" spans="2:17" ht="4.5" customHeight="1">
      <c r="B459" s="1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9">
      <c r="A460" s="5" t="s">
        <v>149</v>
      </c>
      <c r="B460" s="1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9">
      <c r="B461" s="9" t="s">
        <v>137</v>
      </c>
      <c r="C461" s="3">
        <v>30867</v>
      </c>
      <c r="D461" s="3">
        <v>1600</v>
      </c>
      <c r="E461" s="3">
        <v>631</v>
      </c>
      <c r="F461" s="3">
        <v>608</v>
      </c>
      <c r="G461" s="3">
        <v>7771</v>
      </c>
      <c r="H461" s="3">
        <v>1589</v>
      </c>
      <c r="I461" s="3">
        <v>2445</v>
      </c>
      <c r="J461" s="3">
        <v>15520</v>
      </c>
      <c r="K461" s="3">
        <v>3421</v>
      </c>
      <c r="L461" s="3">
        <v>10181</v>
      </c>
      <c r="M461" s="3">
        <v>2808</v>
      </c>
      <c r="N461" s="3">
        <v>628</v>
      </c>
      <c r="O461" s="3">
        <v>206</v>
      </c>
      <c r="P461" s="3">
        <v>271</v>
      </c>
      <c r="Q461" s="3">
        <v>49</v>
      </c>
    </row>
    <row r="462" spans="1:17" ht="9">
      <c r="A462" s="4" t="s">
        <v>22</v>
      </c>
      <c r="C462" s="3">
        <v>30867</v>
      </c>
      <c r="D462" s="3">
        <v>1600</v>
      </c>
      <c r="E462" s="3">
        <v>631</v>
      </c>
      <c r="F462" s="3">
        <v>608</v>
      </c>
      <c r="G462" s="3">
        <v>7771</v>
      </c>
      <c r="H462" s="3">
        <v>1589</v>
      </c>
      <c r="I462" s="3">
        <v>2445</v>
      </c>
      <c r="J462" s="3">
        <v>15520</v>
      </c>
      <c r="K462" s="3">
        <v>3421</v>
      </c>
      <c r="L462" s="3">
        <v>10181</v>
      </c>
      <c r="M462" s="3">
        <v>2808</v>
      </c>
      <c r="N462" s="3">
        <v>628</v>
      </c>
      <c r="O462" s="3">
        <v>206</v>
      </c>
      <c r="P462" s="3">
        <v>271</v>
      </c>
      <c r="Q462" s="3">
        <v>49</v>
      </c>
    </row>
    <row r="463" spans="2:17" s="6" customFormat="1" ht="9">
      <c r="B463" s="10" t="s">
        <v>154</v>
      </c>
      <c r="C463" s="7">
        <f>C462/30867</f>
        <v>1</v>
      </c>
      <c r="D463" s="7">
        <f aca="true" t="shared" si="76" ref="D463:M463">D462/46909</f>
        <v>0.03410859323370782</v>
      </c>
      <c r="E463" s="7">
        <f t="shared" si="76"/>
        <v>0.01345157645654352</v>
      </c>
      <c r="F463" s="7">
        <f t="shared" si="76"/>
        <v>0.01296126542880897</v>
      </c>
      <c r="G463" s="7">
        <f t="shared" si="76"/>
        <v>0.16566117376196465</v>
      </c>
      <c r="H463" s="7">
        <f t="shared" si="76"/>
        <v>0.033874096655226074</v>
      </c>
      <c r="I463" s="7">
        <f t="shared" si="76"/>
        <v>0.05212219403525976</v>
      </c>
      <c r="J463" s="7">
        <f t="shared" si="76"/>
        <v>0.33085335436696583</v>
      </c>
      <c r="K463" s="7">
        <f t="shared" si="76"/>
        <v>0.07292843590782153</v>
      </c>
      <c r="L463" s="7">
        <f t="shared" si="76"/>
        <v>0.21703724232023705</v>
      </c>
      <c r="M463" s="7">
        <f t="shared" si="76"/>
        <v>0.05986058112515722</v>
      </c>
      <c r="N463" s="7">
        <f>N462/628</f>
        <v>1</v>
      </c>
      <c r="O463" s="7">
        <f>O462/477</f>
        <v>0.43186582809224316</v>
      </c>
      <c r="P463" s="7">
        <f>P462/477</f>
        <v>0.5681341719077568</v>
      </c>
      <c r="Q463" s="7">
        <f>Q462/49</f>
        <v>1</v>
      </c>
    </row>
    <row r="464" spans="2:17" ht="4.5" customHeight="1">
      <c r="B464" s="1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9">
      <c r="A465" s="5" t="s">
        <v>150</v>
      </c>
      <c r="B465" s="1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9">
      <c r="B466" s="9" t="s">
        <v>137</v>
      </c>
      <c r="C466" s="3">
        <v>35081</v>
      </c>
      <c r="D466" s="3">
        <v>928</v>
      </c>
      <c r="E466" s="3">
        <v>360</v>
      </c>
      <c r="F466" s="3">
        <v>369</v>
      </c>
      <c r="G466" s="3">
        <v>7197</v>
      </c>
      <c r="H466" s="3">
        <v>823</v>
      </c>
      <c r="I466" s="3">
        <v>836</v>
      </c>
      <c r="J466" s="3">
        <v>10708</v>
      </c>
      <c r="K466" s="3">
        <v>1828</v>
      </c>
      <c r="L466" s="3">
        <v>5015</v>
      </c>
      <c r="M466" s="3">
        <v>1729</v>
      </c>
      <c r="N466" s="3">
        <v>425</v>
      </c>
      <c r="O466" s="3">
        <v>106</v>
      </c>
      <c r="P466" s="3">
        <v>181</v>
      </c>
      <c r="Q466" s="3">
        <v>51</v>
      </c>
    </row>
    <row r="467" spans="1:17" ht="9">
      <c r="A467" s="4" t="s">
        <v>22</v>
      </c>
      <c r="C467" s="3">
        <v>35081</v>
      </c>
      <c r="D467" s="3">
        <v>928</v>
      </c>
      <c r="E467" s="3">
        <v>360</v>
      </c>
      <c r="F467" s="3">
        <v>369</v>
      </c>
      <c r="G467" s="3">
        <v>7197</v>
      </c>
      <c r="H467" s="3">
        <v>823</v>
      </c>
      <c r="I467" s="3">
        <v>836</v>
      </c>
      <c r="J467" s="3">
        <v>10708</v>
      </c>
      <c r="K467" s="3">
        <v>1828</v>
      </c>
      <c r="L467" s="3">
        <v>5015</v>
      </c>
      <c r="M467" s="3">
        <v>1729</v>
      </c>
      <c r="N467" s="3">
        <v>425</v>
      </c>
      <c r="O467" s="3">
        <v>106</v>
      </c>
      <c r="P467" s="3">
        <v>181</v>
      </c>
      <c r="Q467" s="3">
        <v>51</v>
      </c>
    </row>
    <row r="468" spans="2:17" s="6" customFormat="1" ht="9">
      <c r="B468" s="10" t="s">
        <v>154</v>
      </c>
      <c r="C468" s="7">
        <f>C467/35081</f>
        <v>1</v>
      </c>
      <c r="D468" s="7">
        <f aca="true" t="shared" si="77" ref="D468:M468">D467/30039</f>
        <v>0.030893172209461035</v>
      </c>
      <c r="E468" s="7">
        <f t="shared" si="77"/>
        <v>0.011984420253670228</v>
      </c>
      <c r="F468" s="7">
        <f t="shared" si="77"/>
        <v>0.012284030760011985</v>
      </c>
      <c r="G468" s="7">
        <f t="shared" si="77"/>
        <v>0.23958853490462398</v>
      </c>
      <c r="H468" s="7">
        <f t="shared" si="77"/>
        <v>0.02739771630214055</v>
      </c>
      <c r="I468" s="7">
        <f t="shared" si="77"/>
        <v>0.027830487033523088</v>
      </c>
      <c r="J468" s="7">
        <f t="shared" si="77"/>
        <v>0.3564699224341689</v>
      </c>
      <c r="K468" s="7">
        <f t="shared" si="77"/>
        <v>0.060854222843636605</v>
      </c>
      <c r="L468" s="7">
        <f t="shared" si="77"/>
        <v>0.16694963214487832</v>
      </c>
      <c r="M468" s="7">
        <f t="shared" si="77"/>
        <v>0.05755850727387729</v>
      </c>
      <c r="N468" s="7">
        <f>N467/425</f>
        <v>1</v>
      </c>
      <c r="O468" s="7">
        <f>O467/287</f>
        <v>0.3693379790940767</v>
      </c>
      <c r="P468" s="7">
        <f>P467/287</f>
        <v>0.6306620209059234</v>
      </c>
      <c r="Q468" s="7">
        <f>Q467/51</f>
        <v>1</v>
      </c>
    </row>
    <row r="469" spans="2:17" ht="4.5" customHeight="1">
      <c r="B469" s="1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9">
      <c r="A470" s="5" t="s">
        <v>151</v>
      </c>
      <c r="B470" s="1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ht="9">
      <c r="B471" s="9" t="s">
        <v>137</v>
      </c>
      <c r="C471" s="3">
        <v>21545</v>
      </c>
      <c r="D471" s="3">
        <v>525</v>
      </c>
      <c r="E471" s="3">
        <v>220</v>
      </c>
      <c r="F471" s="3">
        <v>236</v>
      </c>
      <c r="G471" s="3">
        <v>3237</v>
      </c>
      <c r="H471" s="3">
        <v>422</v>
      </c>
      <c r="I471" s="3">
        <v>432</v>
      </c>
      <c r="J471" s="3">
        <v>6462</v>
      </c>
      <c r="K471" s="3">
        <v>1011</v>
      </c>
      <c r="L471" s="3">
        <v>2017</v>
      </c>
      <c r="M471" s="3">
        <v>1021</v>
      </c>
      <c r="N471" s="3">
        <v>272</v>
      </c>
      <c r="O471" s="3">
        <v>57</v>
      </c>
      <c r="P471" s="3">
        <v>86</v>
      </c>
      <c r="Q471" s="3">
        <v>51</v>
      </c>
    </row>
    <row r="472" spans="1:17" ht="9">
      <c r="A472" s="4" t="s">
        <v>22</v>
      </c>
      <c r="C472" s="3">
        <v>21545</v>
      </c>
      <c r="D472" s="3">
        <v>525</v>
      </c>
      <c r="E472" s="3">
        <v>220</v>
      </c>
      <c r="F472" s="3">
        <v>236</v>
      </c>
      <c r="G472" s="3">
        <v>3237</v>
      </c>
      <c r="H472" s="3">
        <v>422</v>
      </c>
      <c r="I472" s="3">
        <v>432</v>
      </c>
      <c r="J472" s="3">
        <v>6462</v>
      </c>
      <c r="K472" s="3">
        <v>1011</v>
      </c>
      <c r="L472" s="3">
        <v>2017</v>
      </c>
      <c r="M472" s="3">
        <v>1021</v>
      </c>
      <c r="N472" s="3">
        <v>272</v>
      </c>
      <c r="O472" s="3">
        <v>57</v>
      </c>
      <c r="P472" s="3">
        <v>86</v>
      </c>
      <c r="Q472" s="3">
        <v>51</v>
      </c>
    </row>
    <row r="473" spans="2:17" s="6" customFormat="1" ht="9">
      <c r="B473" s="10" t="s">
        <v>154</v>
      </c>
      <c r="C473" s="7">
        <f>C472/21545</f>
        <v>1</v>
      </c>
      <c r="D473" s="7">
        <f aca="true" t="shared" si="78" ref="D473:M473">D472/15780</f>
        <v>0.03326996197718631</v>
      </c>
      <c r="E473" s="7">
        <f t="shared" si="78"/>
        <v>0.01394169835234474</v>
      </c>
      <c r="F473" s="7">
        <f t="shared" si="78"/>
        <v>0.014955640050697085</v>
      </c>
      <c r="G473" s="7">
        <f t="shared" si="78"/>
        <v>0.20513307984790874</v>
      </c>
      <c r="H473" s="7">
        <f t="shared" si="78"/>
        <v>0.026742712294043094</v>
      </c>
      <c r="I473" s="7">
        <f t="shared" si="78"/>
        <v>0.02737642585551331</v>
      </c>
      <c r="J473" s="7">
        <f t="shared" si="78"/>
        <v>0.4095057034220532</v>
      </c>
      <c r="K473" s="7">
        <f t="shared" si="78"/>
        <v>0.06406844106463878</v>
      </c>
      <c r="L473" s="7">
        <f t="shared" si="78"/>
        <v>0.12782002534854245</v>
      </c>
      <c r="M473" s="7">
        <f t="shared" si="78"/>
        <v>0.064702154626109</v>
      </c>
      <c r="N473" s="7">
        <f>N472/272</f>
        <v>1</v>
      </c>
      <c r="O473" s="7">
        <f>O472/143</f>
        <v>0.3986013986013986</v>
      </c>
      <c r="P473" s="7">
        <f>P472/143</f>
        <v>0.6013986013986014</v>
      </c>
      <c r="Q473" s="7">
        <f>Q472/51</f>
        <v>1</v>
      </c>
    </row>
    <row r="474" spans="2:17" ht="4.5" customHeight="1">
      <c r="B474" s="1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9">
      <c r="A475" s="5" t="s">
        <v>153</v>
      </c>
      <c r="B475" s="1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ht="9">
      <c r="B476" s="9" t="s">
        <v>152</v>
      </c>
      <c r="C476" s="3">
        <v>7578</v>
      </c>
      <c r="D476" s="3">
        <v>266</v>
      </c>
      <c r="E476" s="3">
        <v>121</v>
      </c>
      <c r="F476" s="3">
        <v>83</v>
      </c>
      <c r="G476" s="3">
        <v>769</v>
      </c>
      <c r="H476" s="3">
        <v>321</v>
      </c>
      <c r="I476" s="3">
        <v>240</v>
      </c>
      <c r="J476" s="3">
        <v>2806</v>
      </c>
      <c r="K476" s="3">
        <v>331</v>
      </c>
      <c r="L476" s="3">
        <v>336</v>
      </c>
      <c r="M476" s="3">
        <v>347</v>
      </c>
      <c r="N476" s="3">
        <v>125</v>
      </c>
      <c r="O476" s="3">
        <v>16</v>
      </c>
      <c r="P476" s="3">
        <v>24</v>
      </c>
      <c r="Q476" s="3">
        <v>7</v>
      </c>
    </row>
    <row r="477" spans="2:17" ht="9">
      <c r="B477" s="9" t="s">
        <v>133</v>
      </c>
      <c r="C477" s="3">
        <v>16298</v>
      </c>
      <c r="D477" s="3">
        <v>764</v>
      </c>
      <c r="E477" s="3">
        <v>390</v>
      </c>
      <c r="F477" s="3">
        <v>327</v>
      </c>
      <c r="G477" s="3">
        <v>2938</v>
      </c>
      <c r="H477" s="3">
        <v>645</v>
      </c>
      <c r="I477" s="3">
        <v>426</v>
      </c>
      <c r="J477" s="3">
        <v>6952</v>
      </c>
      <c r="K477" s="3">
        <v>1364</v>
      </c>
      <c r="L477" s="3">
        <v>1025</v>
      </c>
      <c r="M477" s="3">
        <v>1207</v>
      </c>
      <c r="N477" s="3">
        <v>194</v>
      </c>
      <c r="O477" s="3">
        <v>40</v>
      </c>
      <c r="P477" s="3">
        <v>39</v>
      </c>
      <c r="Q477" s="3">
        <v>8</v>
      </c>
    </row>
    <row r="478" spans="1:17" ht="9">
      <c r="A478" s="4" t="s">
        <v>22</v>
      </c>
      <c r="C478" s="3">
        <v>23876</v>
      </c>
      <c r="D478" s="3">
        <v>1030</v>
      </c>
      <c r="E478" s="3">
        <v>511</v>
      </c>
      <c r="F478" s="3">
        <v>410</v>
      </c>
      <c r="G478" s="3">
        <v>3707</v>
      </c>
      <c r="H478" s="3">
        <v>966</v>
      </c>
      <c r="I478" s="3">
        <v>666</v>
      </c>
      <c r="J478" s="3">
        <v>9758</v>
      </c>
      <c r="K478" s="3">
        <v>1695</v>
      </c>
      <c r="L478" s="3">
        <v>1361</v>
      </c>
      <c r="M478" s="3">
        <v>1554</v>
      </c>
      <c r="N478" s="3">
        <v>319</v>
      </c>
      <c r="O478" s="3">
        <v>56</v>
      </c>
      <c r="P478" s="3">
        <v>63</v>
      </c>
      <c r="Q478" s="3">
        <v>15</v>
      </c>
    </row>
    <row r="479" spans="2:17" s="6" customFormat="1" ht="9">
      <c r="B479" s="10" t="s">
        <v>154</v>
      </c>
      <c r="C479" s="7">
        <f>C478/23876</f>
        <v>1</v>
      </c>
      <c r="D479" s="7">
        <f aca="true" t="shared" si="79" ref="D479:M479">D478/21658</f>
        <v>0.04755748453227445</v>
      </c>
      <c r="E479" s="7">
        <f t="shared" si="79"/>
        <v>0.02359405300581771</v>
      </c>
      <c r="F479" s="7">
        <f t="shared" si="79"/>
        <v>0.018930649182750024</v>
      </c>
      <c r="G479" s="7">
        <f t="shared" si="79"/>
        <v>0.17116077200110813</v>
      </c>
      <c r="H479" s="7">
        <f t="shared" si="79"/>
        <v>0.04460245636716225</v>
      </c>
      <c r="I479" s="7">
        <f t="shared" si="79"/>
        <v>0.030750761843198818</v>
      </c>
      <c r="J479" s="7">
        <f t="shared" si="79"/>
        <v>0.45054945054945056</v>
      </c>
      <c r="K479" s="7">
        <f t="shared" si="79"/>
        <v>0.07826207406039339</v>
      </c>
      <c r="L479" s="7">
        <f t="shared" si="79"/>
        <v>0.06284052082371411</v>
      </c>
      <c r="M479" s="7">
        <f t="shared" si="79"/>
        <v>0.07175177763413057</v>
      </c>
      <c r="N479" s="7">
        <f>N478/319</f>
        <v>1</v>
      </c>
      <c r="O479" s="7">
        <f>O478/119</f>
        <v>0.47058823529411764</v>
      </c>
      <c r="P479" s="7">
        <f>P478/119</f>
        <v>0.5294117647058824</v>
      </c>
      <c r="Q479" s="7">
        <f>Q478/15</f>
        <v>1</v>
      </c>
    </row>
    <row r="480" spans="2:17" ht="4.5" customHeight="1">
      <c r="B480" s="1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ht="9">
      <c r="B481" s="1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</sheetData>
  <printOptions/>
  <pageMargins left="0.8999999999999999" right="0.8999999999999999" top="1" bottom="0.8" header="0.3" footer="0.3"/>
  <pageSetup firstPageNumber="73" useFirstPageNumber="1" horizontalDpi="600" verticalDpi="600" orientation="portrait" r:id="rId1"/>
  <headerFooter alignWithMargins="0">
    <oddHeader>&amp;C&amp;"Arial,Bold"&amp;11Supplement to the Statement of Vote
Counties by Assembly Districts
for US Senator</oddHeader>
    <oddFooter>&amp;C&amp;"Arial,Bold"&amp;8&amp;P</oddFooter>
  </headerFooter>
  <rowBreaks count="5" manualBreakCount="5">
    <brk id="74" max="255" man="1"/>
    <brk id="151" max="255" man="1"/>
    <brk id="304" max="255" man="1"/>
    <brk id="379" max="255" man="1"/>
    <brk id="4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2004-07-02T20:58:06Z</cp:lastPrinted>
  <dcterms:created xsi:type="dcterms:W3CDTF">2004-06-18T21:20:26Z</dcterms:created>
  <dcterms:modified xsi:type="dcterms:W3CDTF">2004-07-02T20:58:07Z</dcterms:modified>
  <cp:category/>
  <cp:version/>
  <cp:contentType/>
  <cp:contentStatus/>
</cp:coreProperties>
</file>