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'Sheet1'!$A$1:$L$480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<sst xmlns="http://schemas.openxmlformats.org/spreadsheetml/2006/main" count="417" uniqueCount="156">
  <si>
    <t>DEM</t>
  </si>
  <si>
    <t>REP</t>
  </si>
  <si>
    <t>AI</t>
  </si>
  <si>
    <t>GRN</t>
  </si>
  <si>
    <t>LIB</t>
  </si>
  <si>
    <t>PF</t>
  </si>
  <si>
    <t>Del Norte</t>
  </si>
  <si>
    <t>Humboldt</t>
  </si>
  <si>
    <t>Lake</t>
  </si>
  <si>
    <t>Mendocino</t>
  </si>
  <si>
    <t>Sonoma</t>
  </si>
  <si>
    <t>Trinity</t>
  </si>
  <si>
    <t>State Assembly District 1 (2000)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</si>
  <si>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</si>
  <si>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</si>
  <si>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</si>
  <si>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</si>
  <si>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</si>
  <si>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</si>
  <si>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</si>
  <si>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</si>
  <si>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</si>
  <si>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 (2000)</t>
  </si>
  <si>
    <t>Lassen</t>
  </si>
  <si>
    <t>Nevada</t>
  </si>
  <si>
    <t>Placer</t>
  </si>
  <si>
    <t>Plumas</t>
  </si>
  <si>
    <t>Sierra</t>
  </si>
  <si>
    <t>Yuba</t>
  </si>
  <si>
    <t>State Assembly District 3 (2000)</t>
  </si>
  <si>
    <t>Alpine</t>
  </si>
  <si>
    <t>El Dorado</t>
  </si>
  <si>
    <t>Sacramento</t>
  </si>
  <si>
    <t>State Assembly District 4 (2000)</t>
  </si>
  <si>
    <t>State Assembly District 5 (2000)</t>
  </si>
  <si>
    <t>Marin</t>
  </si>
  <si>
    <t>State Assembly District 6 (2000)</t>
  </si>
  <si>
    <t>Napa</t>
  </si>
  <si>
    <t>Solano</t>
  </si>
  <si>
    <t>State Assembly District 7 (2000)</t>
  </si>
  <si>
    <t>State Assembly District 8 (2000)</t>
  </si>
  <si>
    <t>State Assembly District 9 (2000)</t>
  </si>
  <si>
    <t>Amador</t>
  </si>
  <si>
    <t>San Joaquin</t>
  </si>
  <si>
    <t>State Assembly District 10 (2000)</t>
  </si>
  <si>
    <t>Contra Costa</t>
  </si>
  <si>
    <t>State Assembly District 11 (2000)</t>
  </si>
  <si>
    <t>San Francisco</t>
  </si>
  <si>
    <t>San Mateo</t>
  </si>
  <si>
    <t>State Assembly District 12 (2000)</t>
  </si>
  <si>
    <t>State Assembly District 13 (2000)</t>
  </si>
  <si>
    <t>Alameda</t>
  </si>
  <si>
    <t>State Assembly District 14 (2000)</t>
  </si>
  <si>
    <t>State Assembly District 15 (2000)</t>
  </si>
  <si>
    <t>State Assembly District 16 (2000)</t>
  </si>
  <si>
    <t>Merced</t>
  </si>
  <si>
    <t>Stanislaus</t>
  </si>
  <si>
    <t>State Assembly District 17 (2000)</t>
  </si>
  <si>
    <t>State Assembly District 18 (2000)</t>
  </si>
  <si>
    <t>State Assembly District 19 (2000)</t>
  </si>
  <si>
    <t>Santa Clara</t>
  </si>
  <si>
    <t>State Assembly District 20 (2000)</t>
  </si>
  <si>
    <t>State Assembly District 21 (2000)</t>
  </si>
  <si>
    <t>State Assembly District 22 (2000)</t>
  </si>
  <si>
    <t>State Assembly District 23 (2000)</t>
  </si>
  <si>
    <t>State Assembly District 24 (2000)</t>
  </si>
  <si>
    <t>Calaveras</t>
  </si>
  <si>
    <t>Madera</t>
  </si>
  <si>
    <t>Mariposa</t>
  </si>
  <si>
    <t>Mono</t>
  </si>
  <si>
    <t>Tuolumne</t>
  </si>
  <si>
    <t>State Assembly District 25 (2000)</t>
  </si>
  <si>
    <t>State Assembly District 26 (2000)</t>
  </si>
  <si>
    <t>Monterey</t>
  </si>
  <si>
    <t>Santa Cruz</t>
  </si>
  <si>
    <t>State Assembly District 27 (2000)</t>
  </si>
  <si>
    <t>San Benito</t>
  </si>
  <si>
    <t>State Assembly District 28 (2000)</t>
  </si>
  <si>
    <t>Fresno</t>
  </si>
  <si>
    <t>State Assembly District 29 (2000)</t>
  </si>
  <si>
    <t>Kern</t>
  </si>
  <si>
    <t>Kings</t>
  </si>
  <si>
    <t>Tulare</t>
  </si>
  <si>
    <t>State Assembly District 30 (2000)</t>
  </si>
  <si>
    <t>State Assembly District 31 (2000)</t>
  </si>
  <si>
    <t>San Bernardino</t>
  </si>
  <si>
    <t>State Assembly District 32 (2000)</t>
  </si>
  <si>
    <t>San Luis Obispo</t>
  </si>
  <si>
    <t>Santa Barbara</t>
  </si>
  <si>
    <t>State Assembly District 33 (2000)</t>
  </si>
  <si>
    <t>Inyo</t>
  </si>
  <si>
    <t>State Assembly District 34 (2000)</t>
  </si>
  <si>
    <t>Ventura</t>
  </si>
  <si>
    <t>State Assembly District 35 (2000)</t>
  </si>
  <si>
    <t>Los Angeles</t>
  </si>
  <si>
    <t>State Assembly District 36 (2000)</t>
  </si>
  <si>
    <t>State Assembly District 37 (2000)</t>
  </si>
  <si>
    <t>State Assembly District 38 (2000)</t>
  </si>
  <si>
    <t>State Assembly District 39 (2000)</t>
  </si>
  <si>
    <t>State Assembly District 40 (2000)</t>
  </si>
  <si>
    <t>State Assembly District 41 (2000)</t>
  </si>
  <si>
    <t>State Assembly District 42 (2000)</t>
  </si>
  <si>
    <t>State Assembly District 43 (2000)</t>
  </si>
  <si>
    <t>State Assembly District 44 (2000)</t>
  </si>
  <si>
    <t>State Assembly District 45 (2000)</t>
  </si>
  <si>
    <t>State Assembly District 46 (2000)</t>
  </si>
  <si>
    <t>State Assembly District 47 (2000)</t>
  </si>
  <si>
    <t>State Assembly District 48 (2000)</t>
  </si>
  <si>
    <t>State Assembly District 49 (2000)</t>
  </si>
  <si>
    <t>State Assembly District 50 (2000)</t>
  </si>
  <si>
    <t>State Assembly District 51 (2000)</t>
  </si>
  <si>
    <t>State Assembly District 52 (2000)</t>
  </si>
  <si>
    <t>State Assembly District 53 (2000)</t>
  </si>
  <si>
    <t>State Assembly District 54 (2000)</t>
  </si>
  <si>
    <t>State Assembly District 55 (2000)</t>
  </si>
  <si>
    <t>Orange</t>
  </si>
  <si>
    <t>State Assembly District 56 (2000)</t>
  </si>
  <si>
    <t>State Assembly District 57 (2000)</t>
  </si>
  <si>
    <t>State Assembly District 58 (2000)</t>
  </si>
  <si>
    <t>State Assembly District 59 (2000)</t>
  </si>
  <si>
    <t>State Assembly District 60 (2000)</t>
  </si>
  <si>
    <t>State Assembly District 61 (2000)</t>
  </si>
  <si>
    <t>State Assembly District 62 (2000)</t>
  </si>
  <si>
    <t>Riverside</t>
  </si>
  <si>
    <t>State Assembly District 63 (2000)</t>
  </si>
  <si>
    <t>State Assembly District 64 (2000)</t>
  </si>
  <si>
    <t>State Assembly District 65 (2000)</t>
  </si>
  <si>
    <t>San Diego</t>
  </si>
  <si>
    <t>State Assembly District 66 (2000)</t>
  </si>
  <si>
    <t>State Assembly District 67 (2000)</t>
  </si>
  <si>
    <t>State Assembly District 68 (2000)</t>
  </si>
  <si>
    <t>State Assembly District 69 (2000)</t>
  </si>
  <si>
    <t>State Assembly District 70 (2000)</t>
  </si>
  <si>
    <t>State Assembly District 71 (2000)</t>
  </si>
  <si>
    <t>State Assembly District 72 (2000)</t>
  </si>
  <si>
    <t>State Assembly District 73 (2000)</t>
  </si>
  <si>
    <t>State Assembly District 74 (2000)</t>
  </si>
  <si>
    <t>State Assembly District 75 (2000)</t>
  </si>
  <si>
    <t>State Assembly District 76 (2000)</t>
  </si>
  <si>
    <t>State Assembly District 77 (2000)</t>
  </si>
  <si>
    <t>State Assembly District 78 (2000)</t>
  </si>
  <si>
    <t>State Assembly District 79 (2000)</t>
  </si>
  <si>
    <t>Imperial</t>
  </si>
  <si>
    <t>State Assembly District 80 (2000)</t>
  </si>
  <si>
    <t>District Totals</t>
  </si>
  <si>
    <t>Percent, Total by Party</t>
  </si>
  <si>
    <t>Dianne 
Feinstein</t>
  </si>
  <si>
    <t>Martin Luther 
Church</t>
  </si>
  <si>
    <t>Colleen 
Fernald</t>
  </si>
  <si>
    <t>Richard "Dick" 
Mountjoy</t>
  </si>
  <si>
    <t>Don J. 
Grundmann</t>
  </si>
  <si>
    <t>Todd 
Chretien</t>
  </si>
  <si>
    <t>Tian 
Harter</t>
  </si>
  <si>
    <t>Kent P. 
Mesplay</t>
  </si>
  <si>
    <t>Michael S. 
Metti</t>
  </si>
  <si>
    <t>Marsha 
Feinland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</si>
</sst>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  <numFmt numFmtId="165" formatCode="0.0%"/>
  </numFmts>
  <fonts count="4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0"/>
  <sheetViews>
    <sheetView tabSelected="1" showOutlineSymbols="0" zoomScaleSheetLayoutView="100" workbookViewId="0" topLeftCell="A148">
      <selection activeCell="B45" sqref="B45"/>
    </sheetView>
  </sheetViews>
  <sheetFormatPr defaultColWidth="9.140625" defaultRowHeight="12.75" customHeight="1"/>
  <cols>
    <col min="1" max="1" width="2.7109375" style="1" customWidth="1"/>
    <col min="2" max="2" width="20.28125" style="6" customWidth="1"/>
    <col min="3" max="3" width="8.28125" style="1" customWidth="1"/>
    <col min="4" max="4" width="6.7109375" style="1" bestFit="1" customWidth="1"/>
    <col min="5" max="5" width="7.00390625" style="1" bestFit="1" customWidth="1"/>
    <col min="6" max="6" width="8.28125" style="1" customWidth="1"/>
    <col min="7" max="7" width="10.00390625" style="1" customWidth="1"/>
    <col min="8" max="8" width="7.7109375" style="1" customWidth="1"/>
    <col min="9" max="9" width="5.8515625" style="1" bestFit="1" customWidth="1"/>
    <col min="10" max="10" width="7.57421875" style="1" bestFit="1" customWidth="1"/>
    <col min="11" max="11" width="8.8515625" style="1" customWidth="1"/>
    <col min="12" max="12" width="7.57421875" style="1" bestFit="1" customWidth="1"/>
    <col min="13" max="16384" width="7.7109375" style="1" customWidth="1"/>
  </cols>
  <sheetData>
    <row r="1" spans="3:12" s="13" customFormat="1" ht="33.75">
      <c r="C1" s="13" t="s">
        <v>146</v>
      </c>
      <c r="D1" s="13" t="s">
        <v>147</v>
      </c>
      <c r="E1" s="13" t="s">
        <v>148</v>
      </c>
      <c r="F1" s="13" t="s">
        <v>149</v>
      </c>
      <c r="G1" s="13" t="s">
        <v>150</v>
      </c>
      <c r="H1" s="13" t="s">
        <v>151</v>
      </c>
      <c r="I1" s="13" t="s">
        <v>152</v>
      </c>
      <c r="J1" s="13" t="s">
        <v>153</v>
      </c>
      <c r="K1" s="13" t="s">
        <v>154</v>
      </c>
      <c r="L1" s="13" t="s">
        <v>155</v>
      </c>
    </row>
    <row r="2" spans="3:12" s="12" customFormat="1" ht="9">
      <c r="C2" s="12" t="s">
        <v>0</v>
      </c>
      <c r="D2" s="12" t="s">
        <v>0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3</v>
      </c>
      <c r="J2" s="12" t="s">
        <v>3</v>
      </c>
      <c r="K2" s="12" t="s">
        <v>4</v>
      </c>
      <c r="L2" s="12" t="s">
        <v>5</v>
      </c>
    </row>
    <row r="3" spans="1:2" s="11" customFormat="1" ht="9.75" customHeight="1">
      <c r="A3" s="9" t="s">
        <v>12</v>
      </c>
      <c r="B3" s="10"/>
    </row>
    <row r="4" spans="2:12" ht="9.75" customHeight="1">
      <c r="B4" s="6" t="s">
        <v>6</v>
      </c>
      <c r="C4" s="2">
        <v>1984</v>
      </c>
      <c r="D4" s="2">
        <v>188</v>
      </c>
      <c r="E4" s="2">
        <v>249</v>
      </c>
      <c r="F4" s="2">
        <v>2129</v>
      </c>
      <c r="G4" s="2">
        <v>67</v>
      </c>
      <c r="H4" s="2">
        <v>14</v>
      </c>
      <c r="I4" s="2">
        <v>15</v>
      </c>
      <c r="J4" s="2">
        <v>3</v>
      </c>
      <c r="K4" s="2">
        <v>31</v>
      </c>
      <c r="L4" s="2">
        <v>3</v>
      </c>
    </row>
    <row r="5" spans="2:12" ht="9.75" customHeight="1">
      <c r="B5" s="6" t="s">
        <v>7</v>
      </c>
      <c r="C5" s="2">
        <v>15282</v>
      </c>
      <c r="D5" s="2">
        <v>1083</v>
      </c>
      <c r="E5" s="2">
        <v>2242</v>
      </c>
      <c r="F5" s="2">
        <v>9525</v>
      </c>
      <c r="G5" s="2">
        <v>316</v>
      </c>
      <c r="H5" s="2">
        <v>507</v>
      </c>
      <c r="I5" s="2">
        <v>639</v>
      </c>
      <c r="J5" s="2">
        <v>125</v>
      </c>
      <c r="K5" s="2">
        <v>242</v>
      </c>
      <c r="L5" s="2">
        <v>57</v>
      </c>
    </row>
    <row r="6" spans="2:12" ht="9.75" customHeight="1">
      <c r="B6" s="6" t="s">
        <v>8</v>
      </c>
      <c r="C6" s="2">
        <v>5526</v>
      </c>
      <c r="D6" s="2">
        <v>414</v>
      </c>
      <c r="E6" s="2">
        <v>673</v>
      </c>
      <c r="F6" s="2">
        <v>4088</v>
      </c>
      <c r="G6" s="2">
        <v>173</v>
      </c>
      <c r="H6" s="2">
        <v>55</v>
      </c>
      <c r="I6" s="2">
        <v>53</v>
      </c>
      <c r="J6" s="2">
        <v>13</v>
      </c>
      <c r="K6" s="2">
        <v>51</v>
      </c>
      <c r="L6" s="2">
        <v>8</v>
      </c>
    </row>
    <row r="7" spans="2:12" ht="9.75" customHeight="1">
      <c r="B7" s="6" t="s">
        <v>9</v>
      </c>
      <c r="C7" s="2">
        <v>10224</v>
      </c>
      <c r="D7" s="2">
        <v>601</v>
      </c>
      <c r="E7" s="2">
        <v>1274</v>
      </c>
      <c r="F7" s="2">
        <v>4937</v>
      </c>
      <c r="G7" s="2">
        <v>194</v>
      </c>
      <c r="H7" s="2">
        <v>244</v>
      </c>
      <c r="I7" s="2">
        <v>272</v>
      </c>
      <c r="J7" s="2">
        <v>59</v>
      </c>
      <c r="K7" s="2">
        <v>120</v>
      </c>
      <c r="L7" s="2">
        <v>43</v>
      </c>
    </row>
    <row r="8" spans="2:12" ht="9.75" customHeight="1">
      <c r="B8" s="6" t="s">
        <v>10</v>
      </c>
      <c r="C8" s="2">
        <v>17501</v>
      </c>
      <c r="D8" s="2">
        <v>823</v>
      </c>
      <c r="E8" s="2">
        <v>1912</v>
      </c>
      <c r="F8" s="2">
        <v>7436</v>
      </c>
      <c r="G8" s="2">
        <v>331</v>
      </c>
      <c r="H8" s="2">
        <v>236</v>
      </c>
      <c r="I8" s="2">
        <v>299</v>
      </c>
      <c r="J8" s="2">
        <v>65</v>
      </c>
      <c r="K8" s="2">
        <v>169</v>
      </c>
      <c r="L8" s="2">
        <v>56</v>
      </c>
    </row>
    <row r="9" spans="2:12" ht="9.75" customHeight="1">
      <c r="B9" s="6" t="s">
        <v>11</v>
      </c>
      <c r="C9" s="2">
        <v>1400</v>
      </c>
      <c r="D9" s="2">
        <v>164</v>
      </c>
      <c r="E9" s="2">
        <v>273</v>
      </c>
      <c r="F9" s="2">
        <v>1464</v>
      </c>
      <c r="G9" s="2">
        <v>64</v>
      </c>
      <c r="H9" s="2">
        <v>16</v>
      </c>
      <c r="I9" s="2">
        <v>23</v>
      </c>
      <c r="J9" s="2">
        <v>3</v>
      </c>
      <c r="K9" s="2">
        <v>31</v>
      </c>
      <c r="L9" s="2">
        <v>7</v>
      </c>
    </row>
    <row r="10" spans="1:12" ht="9.75" customHeight="1">
      <c r="A10" s="4" t="s">
        <v>144</v>
      </c>
      <c r="C10" s="3">
        <v>51917</v>
      </c>
      <c r="D10" s="3">
        <v>3273</v>
      </c>
      <c r="E10" s="3">
        <v>6623</v>
      </c>
      <c r="F10" s="3">
        <v>29579</v>
      </c>
      <c r="G10" s="3">
        <v>1145</v>
      </c>
      <c r="H10" s="3">
        <v>1072</v>
      </c>
      <c r="I10" s="3">
        <v>1301</v>
      </c>
      <c r="J10" s="3">
        <v>268</v>
      </c>
      <c r="K10" s="3">
        <v>644</v>
      </c>
      <c r="L10" s="3">
        <v>174</v>
      </c>
    </row>
    <row r="11" spans="2:12" s="5" customFormat="1" ht="9.75" customHeight="1">
      <c r="B11" s="7" t="s">
        <v>145</v>
      </c>
      <c r="C11" s="5">
        <f>C10/61813</f>
        <v>0.839904227266109</v>
      </c>
      <c r="D11" s="5">
        <f>D10/61813</f>
        <v>0.052950026693414004</v>
      </c>
      <c r="E11" s="5">
        <f>E10/61813</f>
        <v>0.10714574604047693</v>
      </c>
      <c r="F11" s="5">
        <f>F10/29579</f>
        <v>1</v>
      </c>
      <c r="G11" s="5">
        <f>G10/1145</f>
        <v>1</v>
      </c>
      <c r="H11" s="5">
        <f>H10/2641</f>
        <v>0.40590685346459676</v>
      </c>
      <c r="I11" s="5">
        <f>I10/2641</f>
        <v>0.4926164331692541</v>
      </c>
      <c r="J11" s="5">
        <f>J10/2641</f>
        <v>0.10147671336614919</v>
      </c>
      <c r="K11" s="5">
        <f>K10/644</f>
        <v>1</v>
      </c>
      <c r="L11" s="5">
        <f>L10/174</f>
        <v>1</v>
      </c>
    </row>
    <row r="12" spans="2:12" ht="4.5" customHeigh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9.75" customHeight="1">
      <c r="A13" s="4" t="s">
        <v>22</v>
      </c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9.75" customHeight="1">
      <c r="B14" s="6" t="s">
        <v>13</v>
      </c>
      <c r="C14" s="2">
        <v>911</v>
      </c>
      <c r="D14" s="2">
        <v>85</v>
      </c>
      <c r="E14" s="2">
        <v>174</v>
      </c>
      <c r="F14" s="2">
        <v>2001</v>
      </c>
      <c r="G14" s="2">
        <v>23</v>
      </c>
      <c r="H14" s="2">
        <v>6</v>
      </c>
      <c r="I14" s="2">
        <v>7</v>
      </c>
      <c r="J14" s="2">
        <v>3</v>
      </c>
      <c r="K14" s="2">
        <v>12</v>
      </c>
      <c r="L14" s="2">
        <v>3</v>
      </c>
    </row>
    <row r="15" spans="2:12" ht="9.75" customHeight="1">
      <c r="B15" s="6" t="s">
        <v>14</v>
      </c>
      <c r="C15" s="2">
        <v>1125</v>
      </c>
      <c r="D15" s="2">
        <v>104</v>
      </c>
      <c r="E15" s="2">
        <v>175</v>
      </c>
      <c r="F15" s="2">
        <v>1697</v>
      </c>
      <c r="G15" s="2">
        <v>28</v>
      </c>
      <c r="H15" s="2">
        <v>3</v>
      </c>
      <c r="I15" s="2">
        <v>4</v>
      </c>
      <c r="J15" s="2">
        <v>3</v>
      </c>
      <c r="K15" s="2">
        <v>9</v>
      </c>
      <c r="L15" s="2">
        <v>5</v>
      </c>
    </row>
    <row r="16" spans="2:12" ht="9.75" customHeight="1">
      <c r="B16" s="6" t="s">
        <v>15</v>
      </c>
      <c r="C16" s="2">
        <v>1622</v>
      </c>
      <c r="D16" s="2">
        <v>181</v>
      </c>
      <c r="E16" s="2">
        <v>387</v>
      </c>
      <c r="F16" s="2">
        <v>2887</v>
      </c>
      <c r="G16" s="2">
        <v>81</v>
      </c>
      <c r="H16" s="2">
        <v>9</v>
      </c>
      <c r="I16" s="2">
        <v>4</v>
      </c>
      <c r="J16" s="2">
        <v>3</v>
      </c>
      <c r="K16" s="2">
        <v>16</v>
      </c>
      <c r="L16" s="2">
        <v>4</v>
      </c>
    </row>
    <row r="17" spans="2:12" ht="9.75" customHeight="1">
      <c r="B17" s="6" t="s">
        <v>16</v>
      </c>
      <c r="C17" s="2">
        <v>767</v>
      </c>
      <c r="D17" s="2">
        <v>117</v>
      </c>
      <c r="E17" s="2">
        <v>193</v>
      </c>
      <c r="F17" s="2">
        <v>1551</v>
      </c>
      <c r="G17" s="2">
        <v>59</v>
      </c>
      <c r="H17" s="2">
        <v>5</v>
      </c>
      <c r="I17" s="2">
        <v>2</v>
      </c>
      <c r="J17" s="2">
        <v>3</v>
      </c>
      <c r="K17" s="2">
        <v>20</v>
      </c>
      <c r="L17" s="2">
        <v>3</v>
      </c>
    </row>
    <row r="18" spans="2:12" ht="9.75" customHeight="1">
      <c r="B18" s="6" t="s">
        <v>17</v>
      </c>
      <c r="C18" s="2">
        <v>10702</v>
      </c>
      <c r="D18" s="2">
        <v>1103</v>
      </c>
      <c r="E18" s="2">
        <v>2100</v>
      </c>
      <c r="F18" s="2">
        <v>17226</v>
      </c>
      <c r="G18" s="2">
        <v>447</v>
      </c>
      <c r="H18" s="2">
        <v>39</v>
      </c>
      <c r="I18" s="2">
        <v>52</v>
      </c>
      <c r="J18" s="2">
        <v>20</v>
      </c>
      <c r="K18" s="2">
        <v>144</v>
      </c>
      <c r="L18" s="2">
        <v>22</v>
      </c>
    </row>
    <row r="19" spans="2:12" ht="9.75" customHeight="1">
      <c r="B19" s="6" t="s">
        <v>18</v>
      </c>
      <c r="C19" s="2">
        <v>3481</v>
      </c>
      <c r="D19" s="2">
        <v>406</v>
      </c>
      <c r="E19" s="2">
        <v>776</v>
      </c>
      <c r="F19" s="2">
        <v>5033</v>
      </c>
      <c r="G19" s="2">
        <v>130</v>
      </c>
      <c r="H19" s="2">
        <v>23</v>
      </c>
      <c r="I19" s="2">
        <v>21</v>
      </c>
      <c r="J19" s="2">
        <v>10</v>
      </c>
      <c r="K19" s="2">
        <v>74</v>
      </c>
      <c r="L19" s="2">
        <v>8</v>
      </c>
    </row>
    <row r="20" spans="2:12" ht="9.75" customHeight="1">
      <c r="B20" s="6" t="s">
        <v>19</v>
      </c>
      <c r="C20" s="2">
        <v>3784</v>
      </c>
      <c r="D20" s="2">
        <v>358</v>
      </c>
      <c r="E20" s="2">
        <v>618</v>
      </c>
      <c r="F20" s="2">
        <v>6887</v>
      </c>
      <c r="G20" s="2">
        <v>93</v>
      </c>
      <c r="H20" s="2">
        <v>5</v>
      </c>
      <c r="I20" s="2">
        <v>11</v>
      </c>
      <c r="J20" s="2">
        <v>10</v>
      </c>
      <c r="K20" s="2">
        <v>44</v>
      </c>
      <c r="L20" s="2">
        <v>7</v>
      </c>
    </row>
    <row r="21" spans="2:12" ht="9.75" customHeight="1">
      <c r="B21" s="6" t="s">
        <v>20</v>
      </c>
      <c r="C21" s="2">
        <v>3620</v>
      </c>
      <c r="D21" s="2">
        <v>445</v>
      </c>
      <c r="E21" s="2">
        <v>806</v>
      </c>
      <c r="F21" s="2">
        <v>5539</v>
      </c>
      <c r="G21" s="2">
        <v>203</v>
      </c>
      <c r="H21" s="2">
        <v>7</v>
      </c>
      <c r="I21" s="2">
        <v>13</v>
      </c>
      <c r="J21" s="2">
        <v>1</v>
      </c>
      <c r="K21" s="2">
        <v>54</v>
      </c>
      <c r="L21" s="2">
        <v>17</v>
      </c>
    </row>
    <row r="22" spans="2:12" ht="9.75" customHeight="1">
      <c r="B22" s="6" t="s">
        <v>21</v>
      </c>
      <c r="C22" s="2">
        <v>844</v>
      </c>
      <c r="D22" s="2">
        <v>57</v>
      </c>
      <c r="E22" s="2">
        <v>133</v>
      </c>
      <c r="F22" s="2">
        <v>915</v>
      </c>
      <c r="G22" s="2">
        <v>13</v>
      </c>
      <c r="H22" s="2">
        <v>5</v>
      </c>
      <c r="I22" s="2">
        <v>3</v>
      </c>
      <c r="J22" s="2">
        <v>2</v>
      </c>
      <c r="K22" s="2">
        <v>5</v>
      </c>
      <c r="L22" s="2">
        <v>1</v>
      </c>
    </row>
    <row r="23" spans="1:12" ht="9.75" customHeight="1">
      <c r="A23" s="4" t="s">
        <v>144</v>
      </c>
      <c r="C23" s="3">
        <v>26856</v>
      </c>
      <c r="D23" s="3">
        <v>2856</v>
      </c>
      <c r="E23" s="3">
        <v>5362</v>
      </c>
      <c r="F23" s="3">
        <v>43736</v>
      </c>
      <c r="G23" s="3">
        <v>1077</v>
      </c>
      <c r="H23" s="3">
        <v>102</v>
      </c>
      <c r="I23" s="3">
        <v>117</v>
      </c>
      <c r="J23" s="3">
        <v>55</v>
      </c>
      <c r="K23" s="3">
        <v>378</v>
      </c>
      <c r="L23" s="3">
        <v>70</v>
      </c>
    </row>
    <row r="24" spans="2:12" s="5" customFormat="1" ht="9.75" customHeight="1">
      <c r="B24" s="7" t="s">
        <v>145</v>
      </c>
      <c r="C24" s="5">
        <f>C23/35074</f>
        <v>0.7656953868962765</v>
      </c>
      <c r="D24" s="5">
        <f>D23/35074</f>
        <v>0.08142783828476935</v>
      </c>
      <c r="E24" s="5">
        <f>E23/35074</f>
        <v>0.1528767748189542</v>
      </c>
      <c r="F24" s="5">
        <f>F23/43736</f>
        <v>1</v>
      </c>
      <c r="G24" s="5">
        <f>G23/1077</f>
        <v>1</v>
      </c>
      <c r="H24" s="5">
        <f>H23/274</f>
        <v>0.3722627737226277</v>
      </c>
      <c r="I24" s="5">
        <f>I23/274</f>
        <v>0.42700729927007297</v>
      </c>
      <c r="J24" s="5">
        <f>J23/274</f>
        <v>0.20072992700729927</v>
      </c>
      <c r="K24" s="5">
        <f>K23/378</f>
        <v>1</v>
      </c>
      <c r="L24" s="5">
        <f>L23/70</f>
        <v>1</v>
      </c>
    </row>
    <row r="25" spans="2:12" ht="4.5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9.75" customHeight="1">
      <c r="A26" s="4" t="s">
        <v>29</v>
      </c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9.75" customHeight="1">
      <c r="B27" s="6" t="s">
        <v>13</v>
      </c>
      <c r="C27" s="2">
        <v>13988</v>
      </c>
      <c r="D27" s="2">
        <v>940</v>
      </c>
      <c r="E27" s="2">
        <v>1642</v>
      </c>
      <c r="F27" s="2">
        <v>15605</v>
      </c>
      <c r="G27" s="2">
        <v>305</v>
      </c>
      <c r="H27" s="2">
        <v>135</v>
      </c>
      <c r="I27" s="2">
        <v>188</v>
      </c>
      <c r="J27" s="2">
        <v>77</v>
      </c>
      <c r="K27" s="2">
        <v>177</v>
      </c>
      <c r="L27" s="2">
        <v>34</v>
      </c>
    </row>
    <row r="28" spans="2:12" ht="9.75" customHeight="1">
      <c r="B28" s="6" t="s">
        <v>23</v>
      </c>
      <c r="C28" s="2">
        <v>1622</v>
      </c>
      <c r="D28" s="2">
        <v>265</v>
      </c>
      <c r="E28" s="2">
        <v>324</v>
      </c>
      <c r="F28" s="2">
        <v>2706</v>
      </c>
      <c r="G28" s="2">
        <v>103</v>
      </c>
      <c r="H28" s="2">
        <v>2</v>
      </c>
      <c r="I28" s="2">
        <v>8</v>
      </c>
      <c r="J28" s="2">
        <v>3</v>
      </c>
      <c r="K28" s="2">
        <v>22</v>
      </c>
      <c r="L28" s="2">
        <v>3</v>
      </c>
    </row>
    <row r="29" spans="2:12" ht="9.75" customHeight="1">
      <c r="B29" s="6" t="s">
        <v>24</v>
      </c>
      <c r="C29" s="2">
        <v>9411</v>
      </c>
      <c r="D29" s="2">
        <v>474</v>
      </c>
      <c r="E29" s="2">
        <v>994</v>
      </c>
      <c r="F29" s="2">
        <v>10790</v>
      </c>
      <c r="G29" s="2">
        <v>208</v>
      </c>
      <c r="H29" s="2">
        <v>137</v>
      </c>
      <c r="I29" s="2">
        <v>157</v>
      </c>
      <c r="J29" s="2">
        <v>61</v>
      </c>
      <c r="K29" s="2">
        <v>121</v>
      </c>
      <c r="L29" s="2">
        <v>12</v>
      </c>
    </row>
    <row r="30" spans="2:12" ht="9.75" customHeight="1">
      <c r="B30" s="6" t="s">
        <v>25</v>
      </c>
      <c r="C30" s="2">
        <v>2277</v>
      </c>
      <c r="D30" s="2">
        <v>162</v>
      </c>
      <c r="E30" s="2">
        <v>278</v>
      </c>
      <c r="F30" s="2">
        <v>3631</v>
      </c>
      <c r="G30" s="2">
        <v>51</v>
      </c>
      <c r="H30" s="2">
        <v>10</v>
      </c>
      <c r="I30" s="2">
        <v>19</v>
      </c>
      <c r="J30" s="2">
        <v>12</v>
      </c>
      <c r="K30" s="2">
        <v>36</v>
      </c>
      <c r="L30" s="2">
        <v>3</v>
      </c>
    </row>
    <row r="31" spans="2:12" ht="9.75" customHeight="1">
      <c r="B31" s="6" t="s">
        <v>26</v>
      </c>
      <c r="C31" s="2">
        <v>2000</v>
      </c>
      <c r="D31" s="2">
        <v>182</v>
      </c>
      <c r="E31" s="2">
        <v>251</v>
      </c>
      <c r="F31" s="2">
        <v>2663</v>
      </c>
      <c r="G31" s="2">
        <v>78</v>
      </c>
      <c r="H31" s="2">
        <v>7</v>
      </c>
      <c r="I31" s="2">
        <v>12</v>
      </c>
      <c r="J31" s="2">
        <v>6</v>
      </c>
      <c r="K31" s="2">
        <v>32</v>
      </c>
      <c r="L31" s="2">
        <v>7</v>
      </c>
    </row>
    <row r="32" spans="2:12" ht="9.75" customHeight="1">
      <c r="B32" s="6" t="s">
        <v>27</v>
      </c>
      <c r="C32" s="2">
        <v>341</v>
      </c>
      <c r="D32" s="2">
        <v>49</v>
      </c>
      <c r="E32" s="2">
        <v>68</v>
      </c>
      <c r="F32" s="2">
        <v>499</v>
      </c>
      <c r="G32" s="2">
        <v>27</v>
      </c>
      <c r="H32" s="2">
        <v>5</v>
      </c>
      <c r="I32" s="2">
        <v>4</v>
      </c>
      <c r="J32" s="2">
        <v>2</v>
      </c>
      <c r="K32" s="2">
        <v>16</v>
      </c>
      <c r="L32" s="2">
        <v>1</v>
      </c>
    </row>
    <row r="33" spans="2:12" ht="9.75" customHeight="1">
      <c r="B33" s="6" t="s">
        <v>28</v>
      </c>
      <c r="C33" s="2">
        <v>2878</v>
      </c>
      <c r="D33" s="2">
        <v>352</v>
      </c>
      <c r="E33" s="2">
        <v>413</v>
      </c>
      <c r="F33" s="2">
        <v>4187</v>
      </c>
      <c r="G33" s="2">
        <v>136</v>
      </c>
      <c r="H33" s="2">
        <v>10</v>
      </c>
      <c r="I33" s="2">
        <v>17</v>
      </c>
      <c r="J33" s="2">
        <v>11</v>
      </c>
      <c r="K33" s="2">
        <v>48</v>
      </c>
      <c r="L33" s="2">
        <v>7</v>
      </c>
    </row>
    <row r="34" spans="1:12" ht="9.75" customHeight="1">
      <c r="A34" s="4" t="s">
        <v>144</v>
      </c>
      <c r="C34" s="3">
        <v>32517</v>
      </c>
      <c r="D34" s="3">
        <v>2424</v>
      </c>
      <c r="E34" s="3">
        <v>3970</v>
      </c>
      <c r="F34" s="3">
        <v>40081</v>
      </c>
      <c r="G34" s="3">
        <v>908</v>
      </c>
      <c r="H34" s="3">
        <v>306</v>
      </c>
      <c r="I34" s="3">
        <v>405</v>
      </c>
      <c r="J34" s="3">
        <v>172</v>
      </c>
      <c r="K34" s="3">
        <v>452</v>
      </c>
      <c r="L34" s="3">
        <v>67</v>
      </c>
    </row>
    <row r="35" spans="2:12" s="5" customFormat="1" ht="9.75" customHeight="1">
      <c r="B35" s="7" t="s">
        <v>145</v>
      </c>
      <c r="C35" s="5">
        <f>C34/38911</f>
        <v>0.8356762869111563</v>
      </c>
      <c r="D35" s="5">
        <f>D34/38911</f>
        <v>0.06229600884068772</v>
      </c>
      <c r="E35" s="5">
        <f>E34/38911</f>
        <v>0.10202770424815605</v>
      </c>
      <c r="F35" s="5">
        <f>F34/40081</f>
        <v>1</v>
      </c>
      <c r="G35" s="5">
        <f>G34/908</f>
        <v>1</v>
      </c>
      <c r="H35" s="5">
        <f>H34/883</f>
        <v>0.3465458663646659</v>
      </c>
      <c r="I35" s="5">
        <f>I34/883</f>
        <v>0.45866364665911663</v>
      </c>
      <c r="J35" s="5">
        <f>J34/883</f>
        <v>0.19479048697621745</v>
      </c>
      <c r="K35" s="5">
        <f>K34/452</f>
        <v>1</v>
      </c>
      <c r="L35" s="5">
        <f>L34/67</f>
        <v>1</v>
      </c>
    </row>
    <row r="36" spans="2:12" ht="4.5" customHeight="1"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9.75" customHeight="1">
      <c r="A37" s="4" t="s">
        <v>33</v>
      </c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9.75" customHeight="1">
      <c r="B38" s="6" t="s">
        <v>30</v>
      </c>
      <c r="C38" s="2">
        <v>149</v>
      </c>
      <c r="D38" s="2">
        <v>7</v>
      </c>
      <c r="E38" s="2">
        <v>14</v>
      </c>
      <c r="F38" s="2">
        <v>135</v>
      </c>
      <c r="G38" s="2">
        <v>1</v>
      </c>
      <c r="H38" s="2">
        <v>3</v>
      </c>
      <c r="I38" s="2">
        <v>4</v>
      </c>
      <c r="J38" s="2">
        <v>0</v>
      </c>
      <c r="K38" s="2">
        <v>1</v>
      </c>
      <c r="L38" s="2">
        <v>1</v>
      </c>
    </row>
    <row r="39" spans="2:12" ht="9.75" customHeight="1">
      <c r="B39" s="6" t="s">
        <v>31</v>
      </c>
      <c r="C39" s="2">
        <v>10020</v>
      </c>
      <c r="D39" s="2">
        <v>790</v>
      </c>
      <c r="E39" s="2">
        <v>1217</v>
      </c>
      <c r="F39" s="2">
        <v>13232</v>
      </c>
      <c r="G39" s="2">
        <v>283</v>
      </c>
      <c r="H39" s="2">
        <v>86</v>
      </c>
      <c r="I39" s="2">
        <v>105</v>
      </c>
      <c r="J39" s="2">
        <v>30</v>
      </c>
      <c r="K39" s="2">
        <v>144</v>
      </c>
      <c r="L39" s="2">
        <v>20</v>
      </c>
    </row>
    <row r="40" spans="2:12" ht="9.75" customHeight="1">
      <c r="B40" s="6" t="s">
        <v>25</v>
      </c>
      <c r="C40" s="2">
        <v>19435</v>
      </c>
      <c r="D40" s="2">
        <v>1174</v>
      </c>
      <c r="E40" s="2">
        <v>1844</v>
      </c>
      <c r="F40" s="2">
        <v>28349</v>
      </c>
      <c r="G40" s="2">
        <v>342</v>
      </c>
      <c r="H40" s="2">
        <v>85</v>
      </c>
      <c r="I40" s="2">
        <v>78</v>
      </c>
      <c r="J40" s="2">
        <v>31</v>
      </c>
      <c r="K40" s="2">
        <v>177</v>
      </c>
      <c r="L40" s="2">
        <v>25</v>
      </c>
    </row>
    <row r="41" spans="2:12" ht="9.75" customHeight="1">
      <c r="B41" s="6" t="s">
        <v>32</v>
      </c>
      <c r="C41" s="2">
        <v>3981</v>
      </c>
      <c r="D41" s="2">
        <v>350</v>
      </c>
      <c r="E41" s="2">
        <v>494</v>
      </c>
      <c r="F41" s="2">
        <v>3590</v>
      </c>
      <c r="G41" s="2">
        <v>105</v>
      </c>
      <c r="H41" s="2">
        <v>6</v>
      </c>
      <c r="I41" s="2">
        <v>12</v>
      </c>
      <c r="J41" s="2">
        <v>5</v>
      </c>
      <c r="K41" s="2">
        <v>40</v>
      </c>
      <c r="L41" s="2">
        <v>10</v>
      </c>
    </row>
    <row r="42" spans="1:12" ht="9.75" customHeight="1">
      <c r="A42" s="4" t="s">
        <v>144</v>
      </c>
      <c r="C42" s="3">
        <v>33585</v>
      </c>
      <c r="D42" s="3">
        <v>2321</v>
      </c>
      <c r="E42" s="3">
        <v>3569</v>
      </c>
      <c r="F42" s="3">
        <v>45306</v>
      </c>
      <c r="G42" s="3">
        <v>731</v>
      </c>
      <c r="H42" s="3">
        <v>180</v>
      </c>
      <c r="I42" s="3">
        <v>199</v>
      </c>
      <c r="J42" s="3">
        <v>66</v>
      </c>
      <c r="K42" s="3">
        <v>362</v>
      </c>
      <c r="L42" s="3">
        <v>56</v>
      </c>
    </row>
    <row r="43" spans="2:12" s="5" customFormat="1" ht="9.75" customHeight="1">
      <c r="B43" s="7" t="s">
        <v>145</v>
      </c>
      <c r="C43" s="5">
        <f>C42/39475</f>
        <v>0.8507916402786574</v>
      </c>
      <c r="D43" s="5">
        <f>D42/39475</f>
        <v>0.058796706776440784</v>
      </c>
      <c r="E43" s="5">
        <f>E42/39475</f>
        <v>0.09041165294490183</v>
      </c>
      <c r="F43" s="5">
        <f>F42/45306</f>
        <v>1</v>
      </c>
      <c r="G43" s="5">
        <f>G42/731</f>
        <v>1</v>
      </c>
      <c r="H43" s="5">
        <f>H42/445</f>
        <v>0.4044943820224719</v>
      </c>
      <c r="I43" s="5">
        <f>I42/445</f>
        <v>0.44719101123595506</v>
      </c>
      <c r="J43" s="5">
        <f>J42/445</f>
        <v>0.14831460674157304</v>
      </c>
      <c r="K43" s="5">
        <f>K42/362</f>
        <v>1</v>
      </c>
      <c r="L43" s="5">
        <f>L42/56</f>
        <v>1</v>
      </c>
    </row>
    <row r="44" spans="2:12" ht="4.5" customHeight="1"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9.75" customHeight="1">
      <c r="A45" s="4" t="s">
        <v>34</v>
      </c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9.75" customHeight="1">
      <c r="B46" s="6" t="s">
        <v>25</v>
      </c>
      <c r="C46" s="2">
        <v>1378</v>
      </c>
      <c r="D46" s="2">
        <v>66</v>
      </c>
      <c r="E46" s="2">
        <v>148</v>
      </c>
      <c r="F46" s="2">
        <v>2871</v>
      </c>
      <c r="G46" s="2">
        <v>24</v>
      </c>
      <c r="H46" s="2">
        <v>6</v>
      </c>
      <c r="I46" s="2">
        <v>5</v>
      </c>
      <c r="J46" s="2">
        <v>3</v>
      </c>
      <c r="K46" s="2">
        <v>8</v>
      </c>
      <c r="L46" s="2">
        <v>1</v>
      </c>
    </row>
    <row r="47" spans="2:12" ht="9.75" customHeight="1">
      <c r="B47" s="6" t="s">
        <v>32</v>
      </c>
      <c r="C47" s="2">
        <v>29396</v>
      </c>
      <c r="D47" s="2">
        <v>1527</v>
      </c>
      <c r="E47" s="2">
        <v>3175</v>
      </c>
      <c r="F47" s="2">
        <v>27985</v>
      </c>
      <c r="G47" s="2">
        <v>441</v>
      </c>
      <c r="H47" s="2">
        <v>98</v>
      </c>
      <c r="I47" s="2">
        <v>151</v>
      </c>
      <c r="J47" s="2">
        <v>62</v>
      </c>
      <c r="K47" s="2">
        <v>228</v>
      </c>
      <c r="L47" s="2">
        <v>58</v>
      </c>
    </row>
    <row r="48" spans="1:12" ht="9.75" customHeight="1">
      <c r="A48" s="4" t="s">
        <v>144</v>
      </c>
      <c r="C48" s="3">
        <v>30774</v>
      </c>
      <c r="D48" s="3">
        <v>1593</v>
      </c>
      <c r="E48" s="3">
        <v>3323</v>
      </c>
      <c r="F48" s="3">
        <v>30856</v>
      </c>
      <c r="G48" s="3">
        <v>465</v>
      </c>
      <c r="H48" s="3">
        <v>104</v>
      </c>
      <c r="I48" s="3">
        <v>156</v>
      </c>
      <c r="J48" s="3">
        <v>65</v>
      </c>
      <c r="K48" s="3">
        <v>236</v>
      </c>
      <c r="L48" s="3">
        <v>59</v>
      </c>
    </row>
    <row r="49" spans="2:12" s="5" customFormat="1" ht="9.75" customHeight="1">
      <c r="B49" s="7" t="s">
        <v>145</v>
      </c>
      <c r="C49" s="5">
        <f>C48/35690</f>
        <v>0.8622583356682544</v>
      </c>
      <c r="D49" s="5">
        <f>D48/35690</f>
        <v>0.04463435135892407</v>
      </c>
      <c r="E49" s="5">
        <f>E48/35690</f>
        <v>0.09310731297282152</v>
      </c>
      <c r="F49" s="5">
        <f>F48/30856</f>
        <v>1</v>
      </c>
      <c r="G49" s="5">
        <f>G48/465</f>
        <v>1</v>
      </c>
      <c r="H49" s="5">
        <f>H48/325</f>
        <v>0.32</v>
      </c>
      <c r="I49" s="5">
        <f>I48/325</f>
        <v>0.48</v>
      </c>
      <c r="J49" s="5">
        <f>J48/325</f>
        <v>0.2</v>
      </c>
      <c r="K49" s="5">
        <f>K48/236</f>
        <v>1</v>
      </c>
      <c r="L49" s="5">
        <f>L48/59</f>
        <v>1</v>
      </c>
    </row>
    <row r="50" spans="2:12" ht="4.5" customHeight="1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9.75" customHeight="1">
      <c r="A51" s="4" t="s">
        <v>36</v>
      </c>
      <c r="B51" s="8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9.75" customHeight="1">
      <c r="B52" s="6" t="s">
        <v>35</v>
      </c>
      <c r="C52" s="2">
        <v>41459</v>
      </c>
      <c r="D52" s="2">
        <v>924</v>
      </c>
      <c r="E52" s="2">
        <v>2311</v>
      </c>
      <c r="F52" s="2">
        <v>11804</v>
      </c>
      <c r="G52" s="2">
        <v>298</v>
      </c>
      <c r="H52" s="2">
        <v>294</v>
      </c>
      <c r="I52" s="2">
        <v>241</v>
      </c>
      <c r="J52" s="2">
        <v>118</v>
      </c>
      <c r="K52" s="2">
        <v>213</v>
      </c>
      <c r="L52" s="2">
        <v>50</v>
      </c>
    </row>
    <row r="53" spans="2:12" ht="9.75" customHeight="1">
      <c r="B53" s="6" t="s">
        <v>10</v>
      </c>
      <c r="C53" s="2">
        <v>24277</v>
      </c>
      <c r="D53" s="2">
        <v>1196</v>
      </c>
      <c r="E53" s="2">
        <v>2116</v>
      </c>
      <c r="F53" s="2">
        <v>9530</v>
      </c>
      <c r="G53" s="2">
        <v>425</v>
      </c>
      <c r="H53" s="2">
        <v>212</v>
      </c>
      <c r="I53" s="2">
        <v>238</v>
      </c>
      <c r="J53" s="2">
        <v>100</v>
      </c>
      <c r="K53" s="2">
        <v>191</v>
      </c>
      <c r="L53" s="2">
        <v>55</v>
      </c>
    </row>
    <row r="54" spans="1:12" ht="9.75" customHeight="1">
      <c r="A54" s="4" t="s">
        <v>144</v>
      </c>
      <c r="C54" s="3">
        <v>65736</v>
      </c>
      <c r="D54" s="3">
        <v>2120</v>
      </c>
      <c r="E54" s="3">
        <v>4427</v>
      </c>
      <c r="F54" s="3">
        <v>21334</v>
      </c>
      <c r="G54" s="3">
        <v>723</v>
      </c>
      <c r="H54" s="3">
        <v>506</v>
      </c>
      <c r="I54" s="3">
        <v>479</v>
      </c>
      <c r="J54" s="3">
        <v>218</v>
      </c>
      <c r="K54" s="3">
        <v>404</v>
      </c>
      <c r="L54" s="3">
        <v>105</v>
      </c>
    </row>
    <row r="55" spans="2:12" s="5" customFormat="1" ht="9.75" customHeight="1">
      <c r="B55" s="7" t="s">
        <v>145</v>
      </c>
      <c r="C55" s="5">
        <f>C54/72283</f>
        <v>0.9094254527343912</v>
      </c>
      <c r="D55" s="5">
        <f>D54/72283</f>
        <v>0.029329164533846132</v>
      </c>
      <c r="E55" s="5">
        <f>E54/72283</f>
        <v>0.06124538273176266</v>
      </c>
      <c r="F55" s="5">
        <f>F54/21334</f>
        <v>1</v>
      </c>
      <c r="G55" s="5">
        <f>G54/723</f>
        <v>1</v>
      </c>
      <c r="H55" s="5">
        <f>H54/1203</f>
        <v>0.42061512884455526</v>
      </c>
      <c r="I55" s="5">
        <f>I54/1203</f>
        <v>0.39817123857024106</v>
      </c>
      <c r="J55" s="5">
        <f>J54/1203</f>
        <v>0.18121363258520365</v>
      </c>
      <c r="K55" s="5">
        <f>K54/404</f>
        <v>1</v>
      </c>
      <c r="L55" s="5">
        <f>L54/105</f>
        <v>1</v>
      </c>
    </row>
    <row r="56" spans="2:12" ht="4.5" customHeight="1"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9.75" customHeight="1">
      <c r="A57" s="4" t="s">
        <v>39</v>
      </c>
      <c r="B57" s="8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9.75" customHeight="1">
      <c r="B58" s="6" t="s">
        <v>37</v>
      </c>
      <c r="C58" s="2">
        <v>14115</v>
      </c>
      <c r="D58" s="2">
        <v>778</v>
      </c>
      <c r="E58" s="2">
        <v>1022</v>
      </c>
      <c r="F58" s="2">
        <v>8637</v>
      </c>
      <c r="G58" s="2">
        <v>246</v>
      </c>
      <c r="H58" s="2">
        <v>110</v>
      </c>
      <c r="I58" s="2">
        <v>94</v>
      </c>
      <c r="J58" s="2">
        <v>37</v>
      </c>
      <c r="K58" s="2">
        <v>115</v>
      </c>
      <c r="L58" s="2">
        <v>12</v>
      </c>
    </row>
    <row r="59" spans="2:12" ht="9.75" customHeight="1">
      <c r="B59" s="6" t="s">
        <v>38</v>
      </c>
      <c r="C59" s="2">
        <v>10799</v>
      </c>
      <c r="D59" s="2">
        <v>598</v>
      </c>
      <c r="E59" s="2">
        <v>913</v>
      </c>
      <c r="F59" s="2">
        <v>3433</v>
      </c>
      <c r="G59" s="2">
        <v>95</v>
      </c>
      <c r="H59" s="2">
        <v>27</v>
      </c>
      <c r="I59" s="2">
        <v>29</v>
      </c>
      <c r="J59" s="2">
        <v>13</v>
      </c>
      <c r="K59" s="2">
        <v>57</v>
      </c>
      <c r="L59" s="2">
        <v>15</v>
      </c>
    </row>
    <row r="60" spans="2:12" ht="9.75" customHeight="1">
      <c r="B60" s="6" t="s">
        <v>10</v>
      </c>
      <c r="C60" s="2">
        <v>22194</v>
      </c>
      <c r="D60" s="2">
        <v>988</v>
      </c>
      <c r="E60" s="2">
        <v>1858</v>
      </c>
      <c r="F60" s="2">
        <v>9825</v>
      </c>
      <c r="G60" s="2">
        <v>399</v>
      </c>
      <c r="H60" s="2">
        <v>180</v>
      </c>
      <c r="I60" s="2">
        <v>214</v>
      </c>
      <c r="J60" s="2">
        <v>56</v>
      </c>
      <c r="K60" s="2">
        <v>178</v>
      </c>
      <c r="L60" s="2">
        <v>47</v>
      </c>
    </row>
    <row r="61" spans="1:12" ht="9.75" customHeight="1">
      <c r="A61" s="4" t="s">
        <v>144</v>
      </c>
      <c r="C61" s="3">
        <v>47108</v>
      </c>
      <c r="D61" s="3">
        <v>2364</v>
      </c>
      <c r="E61" s="3">
        <v>3793</v>
      </c>
      <c r="F61" s="3">
        <v>21895</v>
      </c>
      <c r="G61" s="3">
        <v>740</v>
      </c>
      <c r="H61" s="3">
        <v>317</v>
      </c>
      <c r="I61" s="3">
        <v>337</v>
      </c>
      <c r="J61" s="3">
        <v>106</v>
      </c>
      <c r="K61" s="3">
        <v>350</v>
      </c>
      <c r="L61" s="3">
        <v>74</v>
      </c>
    </row>
    <row r="62" spans="2:12" s="5" customFormat="1" ht="9.75" customHeight="1">
      <c r="B62" s="7" t="s">
        <v>145</v>
      </c>
      <c r="C62" s="5">
        <f>C61/53265</f>
        <v>0.8844081479395476</v>
      </c>
      <c r="D62" s="5">
        <f>D61/53265</f>
        <v>0.04438186426358772</v>
      </c>
      <c r="E62" s="5">
        <f>E61/53265</f>
        <v>0.07120998779686473</v>
      </c>
      <c r="F62" s="5">
        <f>F61/21895</f>
        <v>1</v>
      </c>
      <c r="G62" s="5">
        <f>G61/740</f>
        <v>1</v>
      </c>
      <c r="H62" s="5">
        <f>H61/760</f>
        <v>0.41710526315789476</v>
      </c>
      <c r="I62" s="5">
        <f>I61/760</f>
        <v>0.44342105263157894</v>
      </c>
      <c r="J62" s="5">
        <f>J61/760</f>
        <v>0.1394736842105263</v>
      </c>
      <c r="K62" s="5">
        <f>K61/350</f>
        <v>1</v>
      </c>
      <c r="L62" s="5">
        <f>L61/74</f>
        <v>1</v>
      </c>
    </row>
    <row r="63" spans="2:12" ht="4.5" customHeight="1"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9.75" customHeight="1">
      <c r="A64" s="4" t="s">
        <v>40</v>
      </c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9.75" customHeight="1">
      <c r="B65" s="6" t="s">
        <v>38</v>
      </c>
      <c r="C65" s="2">
        <v>20105</v>
      </c>
      <c r="D65" s="2">
        <v>1017</v>
      </c>
      <c r="E65" s="2">
        <v>2007</v>
      </c>
      <c r="F65" s="2">
        <v>13141</v>
      </c>
      <c r="G65" s="2">
        <v>335</v>
      </c>
      <c r="H65" s="2">
        <v>52</v>
      </c>
      <c r="I65" s="2">
        <v>42</v>
      </c>
      <c r="J65" s="2">
        <v>24</v>
      </c>
      <c r="K65" s="2">
        <v>149</v>
      </c>
      <c r="L65" s="2">
        <v>20</v>
      </c>
    </row>
    <row r="66" spans="2:12" ht="9.75" customHeight="1">
      <c r="B66" s="6" t="s">
        <v>21</v>
      </c>
      <c r="C66" s="2">
        <v>16608</v>
      </c>
      <c r="D66" s="2">
        <v>609</v>
      </c>
      <c r="E66" s="2">
        <v>1401</v>
      </c>
      <c r="F66" s="2">
        <v>8047</v>
      </c>
      <c r="G66" s="2">
        <v>201</v>
      </c>
      <c r="H66" s="2">
        <v>117</v>
      </c>
      <c r="I66" s="2">
        <v>165</v>
      </c>
      <c r="J66" s="2">
        <v>61</v>
      </c>
      <c r="K66" s="2">
        <v>84</v>
      </c>
      <c r="L66" s="2">
        <v>35</v>
      </c>
    </row>
    <row r="67" spans="1:12" ht="9.75" customHeight="1">
      <c r="A67" s="4" t="s">
        <v>144</v>
      </c>
      <c r="C67" s="3">
        <v>36713</v>
      </c>
      <c r="D67" s="3">
        <v>1626</v>
      </c>
      <c r="E67" s="3">
        <v>3408</v>
      </c>
      <c r="F67" s="3">
        <v>21188</v>
      </c>
      <c r="G67" s="3">
        <v>536</v>
      </c>
      <c r="H67" s="3">
        <v>169</v>
      </c>
      <c r="I67" s="3">
        <v>207</v>
      </c>
      <c r="J67" s="3">
        <v>85</v>
      </c>
      <c r="K67" s="3">
        <v>233</v>
      </c>
      <c r="L67" s="3">
        <v>55</v>
      </c>
    </row>
    <row r="68" spans="2:12" s="5" customFormat="1" ht="9.75" customHeight="1">
      <c r="B68" s="7" t="s">
        <v>145</v>
      </c>
      <c r="C68" s="5">
        <f>C67/41747</f>
        <v>0.8794164850168874</v>
      </c>
      <c r="D68" s="5">
        <f>D67/41747</f>
        <v>0.03894890650825209</v>
      </c>
      <c r="E68" s="5">
        <f>E67/41747</f>
        <v>0.08163460847486047</v>
      </c>
      <c r="F68" s="5">
        <f>F67/21188</f>
        <v>1</v>
      </c>
      <c r="G68" s="5">
        <f>G67/536</f>
        <v>1</v>
      </c>
      <c r="H68" s="5">
        <f>H67/461</f>
        <v>0.3665943600867679</v>
      </c>
      <c r="I68" s="5">
        <f>I67/461</f>
        <v>0.4490238611713666</v>
      </c>
      <c r="J68" s="5">
        <f>J67/461</f>
        <v>0.1843817787418655</v>
      </c>
      <c r="K68" s="5">
        <f>K67/233</f>
        <v>1</v>
      </c>
      <c r="L68" s="5">
        <f>L67/55</f>
        <v>1</v>
      </c>
    </row>
    <row r="69" spans="2:12" ht="4.5" customHeight="1"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9.75" customHeight="1">
      <c r="A70" s="4" t="s">
        <v>41</v>
      </c>
      <c r="B70" s="8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9.75" customHeight="1">
      <c r="B71" s="6" t="s">
        <v>32</v>
      </c>
      <c r="C71" s="2">
        <v>35312</v>
      </c>
      <c r="D71" s="2">
        <v>1685</v>
      </c>
      <c r="E71" s="2">
        <v>2547</v>
      </c>
      <c r="F71" s="2">
        <v>11134</v>
      </c>
      <c r="G71" s="2">
        <v>320</v>
      </c>
      <c r="H71" s="2">
        <v>174</v>
      </c>
      <c r="I71" s="2">
        <v>216</v>
      </c>
      <c r="J71" s="2">
        <v>92</v>
      </c>
      <c r="K71" s="2">
        <v>174</v>
      </c>
      <c r="L71" s="2">
        <v>136</v>
      </c>
    </row>
    <row r="72" spans="1:12" ht="9.75" customHeight="1">
      <c r="A72" s="4" t="s">
        <v>144</v>
      </c>
      <c r="C72" s="3">
        <v>35312</v>
      </c>
      <c r="D72" s="3">
        <v>1685</v>
      </c>
      <c r="E72" s="3">
        <v>2547</v>
      </c>
      <c r="F72" s="3">
        <v>11134</v>
      </c>
      <c r="G72" s="3">
        <v>320</v>
      </c>
      <c r="H72" s="3">
        <v>174</v>
      </c>
      <c r="I72" s="3">
        <v>216</v>
      </c>
      <c r="J72" s="3">
        <v>92</v>
      </c>
      <c r="K72" s="3">
        <v>174</v>
      </c>
      <c r="L72" s="3">
        <v>136</v>
      </c>
    </row>
    <row r="73" spans="2:12" s="5" customFormat="1" ht="9.75" customHeight="1">
      <c r="B73" s="7" t="s">
        <v>145</v>
      </c>
      <c r="C73" s="5">
        <f>C72/39544</f>
        <v>0.8929799716771192</v>
      </c>
      <c r="D73" s="5">
        <f>D72/39544</f>
        <v>0.042610762694719806</v>
      </c>
      <c r="E73" s="5">
        <f>E72/39544</f>
        <v>0.06440926562816103</v>
      </c>
      <c r="F73" s="5">
        <f>F72/11134</f>
        <v>1</v>
      </c>
      <c r="G73" s="5">
        <f>G72/320</f>
        <v>1</v>
      </c>
      <c r="H73" s="5">
        <f>H72/482</f>
        <v>0.36099585062240663</v>
      </c>
      <c r="I73" s="5">
        <f>I72/482</f>
        <v>0.44813278008298757</v>
      </c>
      <c r="J73" s="5">
        <f>J72/482</f>
        <v>0.1908713692946058</v>
      </c>
      <c r="K73" s="5">
        <f>K72/174</f>
        <v>1</v>
      </c>
      <c r="L73" s="5">
        <f>L72/136</f>
        <v>1</v>
      </c>
    </row>
    <row r="74" spans="2:12" ht="4.5" customHeight="1"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9.75" customHeight="1">
      <c r="A75" s="4" t="s">
        <v>44</v>
      </c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9.75" customHeight="1">
      <c r="B76" s="6" t="s">
        <v>42</v>
      </c>
      <c r="C76" s="2">
        <v>3693</v>
      </c>
      <c r="D76" s="2">
        <v>312</v>
      </c>
      <c r="E76" s="2">
        <v>426</v>
      </c>
      <c r="F76" s="2">
        <v>4262</v>
      </c>
      <c r="G76" s="2">
        <v>93</v>
      </c>
      <c r="H76" s="2">
        <v>23</v>
      </c>
      <c r="I76" s="2">
        <v>13</v>
      </c>
      <c r="J76" s="2">
        <v>3</v>
      </c>
      <c r="K76" s="2">
        <v>47</v>
      </c>
      <c r="L76" s="2">
        <v>4</v>
      </c>
    </row>
    <row r="77" spans="2:12" ht="9.75" customHeight="1">
      <c r="B77" s="6" t="s">
        <v>31</v>
      </c>
      <c r="C77" s="2">
        <v>2149</v>
      </c>
      <c r="D77" s="2">
        <v>132</v>
      </c>
      <c r="E77" s="2">
        <v>202</v>
      </c>
      <c r="F77" s="2">
        <v>3452</v>
      </c>
      <c r="G77" s="2">
        <v>26</v>
      </c>
      <c r="H77" s="2">
        <v>5</v>
      </c>
      <c r="I77" s="2">
        <v>7</v>
      </c>
      <c r="J77" s="2">
        <v>5</v>
      </c>
      <c r="K77" s="2">
        <v>13</v>
      </c>
      <c r="L77" s="2">
        <v>0</v>
      </c>
    </row>
    <row r="78" spans="2:12" ht="9.75" customHeight="1">
      <c r="B78" s="6" t="s">
        <v>32</v>
      </c>
      <c r="C78" s="2">
        <v>18151</v>
      </c>
      <c r="D78" s="2">
        <v>1138</v>
      </c>
      <c r="E78" s="2">
        <v>1516</v>
      </c>
      <c r="F78" s="2">
        <v>14335</v>
      </c>
      <c r="G78" s="2">
        <v>252</v>
      </c>
      <c r="H78" s="2">
        <v>48</v>
      </c>
      <c r="I78" s="2">
        <v>68</v>
      </c>
      <c r="J78" s="2">
        <v>35</v>
      </c>
      <c r="K78" s="2">
        <v>129</v>
      </c>
      <c r="L78" s="2">
        <v>34</v>
      </c>
    </row>
    <row r="79" spans="2:12" ht="9.75" customHeight="1">
      <c r="B79" s="6" t="s">
        <v>43</v>
      </c>
      <c r="C79" s="2">
        <v>7223</v>
      </c>
      <c r="D79" s="2">
        <v>565</v>
      </c>
      <c r="E79" s="2">
        <v>704</v>
      </c>
      <c r="F79" s="2">
        <v>9755</v>
      </c>
      <c r="G79" s="2">
        <v>135</v>
      </c>
      <c r="H79" s="2">
        <v>20</v>
      </c>
      <c r="I79" s="2">
        <v>18</v>
      </c>
      <c r="J79" s="2">
        <v>13</v>
      </c>
      <c r="K79" s="2">
        <v>47</v>
      </c>
      <c r="L79" s="2">
        <v>3</v>
      </c>
    </row>
    <row r="80" spans="1:12" ht="9.75" customHeight="1">
      <c r="A80" s="4" t="s">
        <v>144</v>
      </c>
      <c r="C80" s="3">
        <v>31216</v>
      </c>
      <c r="D80" s="3">
        <v>2147</v>
      </c>
      <c r="E80" s="3">
        <v>2848</v>
      </c>
      <c r="F80" s="3">
        <v>31804</v>
      </c>
      <c r="G80" s="3">
        <v>506</v>
      </c>
      <c r="H80" s="3">
        <v>96</v>
      </c>
      <c r="I80" s="3">
        <v>106</v>
      </c>
      <c r="J80" s="3">
        <v>56</v>
      </c>
      <c r="K80" s="3">
        <v>236</v>
      </c>
      <c r="L80" s="3">
        <v>41</v>
      </c>
    </row>
    <row r="81" spans="2:12" s="5" customFormat="1" ht="9.75" customHeight="1">
      <c r="B81" s="7" t="s">
        <v>145</v>
      </c>
      <c r="C81" s="5">
        <f>C80/36211</f>
        <v>0.8620584905139322</v>
      </c>
      <c r="D81" s="5">
        <f>D80/36211</f>
        <v>0.05929137554886637</v>
      </c>
      <c r="E81" s="5">
        <f>E80/36211</f>
        <v>0.0786501339372014</v>
      </c>
      <c r="F81" s="5">
        <f>F80/31804</f>
        <v>1</v>
      </c>
      <c r="G81" s="5">
        <f>G80/506</f>
        <v>1</v>
      </c>
      <c r="H81" s="5">
        <f>H80/258</f>
        <v>0.37209302325581395</v>
      </c>
      <c r="I81" s="5">
        <f>I80/258</f>
        <v>0.4108527131782946</v>
      </c>
      <c r="J81" s="5">
        <f>J80/258</f>
        <v>0.21705426356589147</v>
      </c>
      <c r="K81" s="5">
        <f>K80/236</f>
        <v>1</v>
      </c>
      <c r="L81" s="5">
        <f>L80/41</f>
        <v>1</v>
      </c>
    </row>
    <row r="82" spans="2:12" ht="4.5" customHeight="1"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9.75" customHeight="1">
      <c r="A83" s="4" t="s">
        <v>46</v>
      </c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9.75" customHeight="1">
      <c r="B84" s="6" t="s">
        <v>45</v>
      </c>
      <c r="C84" s="2">
        <v>36059</v>
      </c>
      <c r="D84" s="2">
        <v>1474</v>
      </c>
      <c r="E84" s="2">
        <v>2951</v>
      </c>
      <c r="F84" s="2">
        <v>13974</v>
      </c>
      <c r="G84" s="2">
        <v>466</v>
      </c>
      <c r="H84" s="2">
        <v>125</v>
      </c>
      <c r="I84" s="2">
        <v>115</v>
      </c>
      <c r="J84" s="2">
        <v>52</v>
      </c>
      <c r="K84" s="2">
        <v>255</v>
      </c>
      <c r="L84" s="2">
        <v>48</v>
      </c>
    </row>
    <row r="85" spans="1:12" ht="9.75" customHeight="1">
      <c r="A85" s="4" t="s">
        <v>144</v>
      </c>
      <c r="C85" s="3">
        <v>36059</v>
      </c>
      <c r="D85" s="3">
        <v>1474</v>
      </c>
      <c r="E85" s="3">
        <v>2951</v>
      </c>
      <c r="F85" s="3">
        <v>13974</v>
      </c>
      <c r="G85" s="3">
        <v>466</v>
      </c>
      <c r="H85" s="3">
        <v>125</v>
      </c>
      <c r="I85" s="3">
        <v>115</v>
      </c>
      <c r="J85" s="3">
        <v>52</v>
      </c>
      <c r="K85" s="3">
        <v>255</v>
      </c>
      <c r="L85" s="3">
        <v>48</v>
      </c>
    </row>
    <row r="86" spans="2:12" s="5" customFormat="1" ht="9.75" customHeight="1">
      <c r="B86" s="7" t="s">
        <v>145</v>
      </c>
      <c r="C86" s="5">
        <f>C85/40484</f>
        <v>0.8906975595296908</v>
      </c>
      <c r="D86" s="5">
        <f>D85/40484</f>
        <v>0.03640944570694595</v>
      </c>
      <c r="E86" s="5">
        <f>E85/40484</f>
        <v>0.0728929947633633</v>
      </c>
      <c r="F86" s="5">
        <f>F85/13974</f>
        <v>1</v>
      </c>
      <c r="G86" s="5">
        <f>G85/466</f>
        <v>1</v>
      </c>
      <c r="H86" s="5">
        <f>H85/292</f>
        <v>0.4280821917808219</v>
      </c>
      <c r="I86" s="5">
        <f>I85/292</f>
        <v>0.3938356164383562</v>
      </c>
      <c r="J86" s="5">
        <f>J85/292</f>
        <v>0.1780821917808219</v>
      </c>
      <c r="K86" s="5">
        <f>K85/255</f>
        <v>1</v>
      </c>
      <c r="L86" s="5">
        <f>L85/48</f>
        <v>1</v>
      </c>
    </row>
    <row r="87" spans="2:12" ht="4.5" customHeight="1"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9.75" customHeight="1">
      <c r="A88" s="4" t="s">
        <v>49</v>
      </c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9.75" customHeight="1">
      <c r="B89" s="6" t="s">
        <v>47</v>
      </c>
      <c r="C89" s="2">
        <v>43561</v>
      </c>
      <c r="D89" s="2">
        <v>1278</v>
      </c>
      <c r="E89" s="2">
        <v>2376</v>
      </c>
      <c r="F89" s="2">
        <v>6307</v>
      </c>
      <c r="G89" s="2">
        <v>310</v>
      </c>
      <c r="H89" s="2">
        <v>557</v>
      </c>
      <c r="I89" s="2">
        <v>188</v>
      </c>
      <c r="J89" s="2">
        <v>145</v>
      </c>
      <c r="K89" s="2">
        <v>181</v>
      </c>
      <c r="L89" s="2">
        <v>93</v>
      </c>
    </row>
    <row r="90" spans="2:12" ht="9.75" customHeight="1">
      <c r="B90" s="6" t="s">
        <v>48</v>
      </c>
      <c r="C90" s="2">
        <v>5326</v>
      </c>
      <c r="D90" s="2">
        <v>186</v>
      </c>
      <c r="E90" s="2">
        <v>245</v>
      </c>
      <c r="F90" s="2">
        <v>919</v>
      </c>
      <c r="G90" s="2">
        <v>35</v>
      </c>
      <c r="H90" s="2">
        <v>26</v>
      </c>
      <c r="I90" s="2">
        <v>5</v>
      </c>
      <c r="J90" s="2">
        <v>8</v>
      </c>
      <c r="K90" s="2">
        <v>7</v>
      </c>
      <c r="L90" s="2">
        <v>5</v>
      </c>
    </row>
    <row r="91" spans="1:12" ht="9.75" customHeight="1">
      <c r="A91" s="4" t="s">
        <v>144</v>
      </c>
      <c r="C91" s="3">
        <v>48887</v>
      </c>
      <c r="D91" s="3">
        <v>1464</v>
      </c>
      <c r="E91" s="3">
        <v>2621</v>
      </c>
      <c r="F91" s="3">
        <v>7226</v>
      </c>
      <c r="G91" s="3">
        <v>345</v>
      </c>
      <c r="H91" s="3">
        <v>583</v>
      </c>
      <c r="I91" s="3">
        <v>193</v>
      </c>
      <c r="J91" s="3">
        <v>153</v>
      </c>
      <c r="K91" s="3">
        <v>188</v>
      </c>
      <c r="L91" s="3">
        <v>98</v>
      </c>
    </row>
    <row r="92" spans="2:12" s="5" customFormat="1" ht="9.75" customHeight="1">
      <c r="B92" s="7" t="s">
        <v>145</v>
      </c>
      <c r="C92" s="5">
        <f>C91/52972</f>
        <v>0.922883787661406</v>
      </c>
      <c r="D92" s="5">
        <f>D91/52972</f>
        <v>0.027637242316695614</v>
      </c>
      <c r="E92" s="5">
        <f>E91/52972</f>
        <v>0.04947897002189836</v>
      </c>
      <c r="F92" s="5">
        <f>F91/7226</f>
        <v>1</v>
      </c>
      <c r="G92" s="5">
        <f>G91/345</f>
        <v>1</v>
      </c>
      <c r="H92" s="5">
        <f>H91/929</f>
        <v>0.6275565123789021</v>
      </c>
      <c r="I92" s="5">
        <f>I91/929</f>
        <v>0.2077502691065662</v>
      </c>
      <c r="J92" s="5">
        <f>J91/929</f>
        <v>0.16469321851453175</v>
      </c>
      <c r="K92" s="5">
        <f>K91/188</f>
        <v>1</v>
      </c>
      <c r="L92" s="5">
        <f>L91/98</f>
        <v>1</v>
      </c>
    </row>
    <row r="93" spans="2:12" ht="4.5" customHeight="1"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9.75" customHeight="1">
      <c r="A94" s="4" t="s">
        <v>50</v>
      </c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9.75" customHeight="1">
      <c r="B95" s="6" t="s">
        <v>47</v>
      </c>
      <c r="C95" s="2">
        <v>50456</v>
      </c>
      <c r="D95" s="2">
        <v>1587</v>
      </c>
      <c r="E95" s="2">
        <v>3740</v>
      </c>
      <c r="F95" s="2">
        <v>5499</v>
      </c>
      <c r="G95" s="2">
        <v>399</v>
      </c>
      <c r="H95" s="2">
        <v>1326</v>
      </c>
      <c r="I95" s="2">
        <v>480</v>
      </c>
      <c r="J95" s="2">
        <v>195</v>
      </c>
      <c r="K95" s="2">
        <v>300</v>
      </c>
      <c r="L95" s="2">
        <v>161</v>
      </c>
    </row>
    <row r="96" spans="1:12" ht="9.75" customHeight="1">
      <c r="A96" s="4" t="s">
        <v>144</v>
      </c>
      <c r="C96" s="3">
        <v>50456</v>
      </c>
      <c r="D96" s="3">
        <v>1587</v>
      </c>
      <c r="E96" s="3">
        <v>3740</v>
      </c>
      <c r="F96" s="3">
        <v>5499</v>
      </c>
      <c r="G96" s="3">
        <v>399</v>
      </c>
      <c r="H96" s="3">
        <v>1326</v>
      </c>
      <c r="I96" s="3">
        <v>480</v>
      </c>
      <c r="J96" s="3">
        <v>195</v>
      </c>
      <c r="K96" s="3">
        <v>300</v>
      </c>
      <c r="L96" s="3">
        <v>161</v>
      </c>
    </row>
    <row r="97" spans="2:12" s="5" customFormat="1" ht="9.75" customHeight="1">
      <c r="B97" s="7" t="s">
        <v>145</v>
      </c>
      <c r="C97" s="5">
        <f>C96/55783</f>
        <v>0.9045049567072405</v>
      </c>
      <c r="D97" s="5">
        <f>D96/55783</f>
        <v>0.028449527633866947</v>
      </c>
      <c r="E97" s="5">
        <f>E96/55783</f>
        <v>0.0670455156588925</v>
      </c>
      <c r="F97" s="5">
        <f>F96/5499</f>
        <v>1</v>
      </c>
      <c r="G97" s="5">
        <f>G96/399</f>
        <v>1</v>
      </c>
      <c r="H97" s="5">
        <f>H96/2001</f>
        <v>0.6626686656671664</v>
      </c>
      <c r="I97" s="5">
        <f>I96/2001</f>
        <v>0.239880059970015</v>
      </c>
      <c r="J97" s="5">
        <f>J96/2001</f>
        <v>0.09745127436281859</v>
      </c>
      <c r="K97" s="5">
        <f>K96/300</f>
        <v>1</v>
      </c>
      <c r="L97" s="5">
        <f>L96/161</f>
        <v>1</v>
      </c>
    </row>
    <row r="98" spans="2:12" ht="4.5" customHeight="1"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9.75" customHeight="1">
      <c r="A99" s="4" t="s">
        <v>52</v>
      </c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9.75" customHeight="1">
      <c r="B100" s="6" t="s">
        <v>51</v>
      </c>
      <c r="C100" s="2">
        <v>29884</v>
      </c>
      <c r="D100" s="2">
        <v>534</v>
      </c>
      <c r="E100" s="2">
        <v>2206</v>
      </c>
      <c r="F100" s="2">
        <v>2207</v>
      </c>
      <c r="G100" s="2">
        <v>66</v>
      </c>
      <c r="H100" s="2">
        <v>852</v>
      </c>
      <c r="I100" s="2">
        <v>335</v>
      </c>
      <c r="J100" s="2">
        <v>206</v>
      </c>
      <c r="K100" s="2">
        <v>97</v>
      </c>
      <c r="L100" s="2">
        <v>135</v>
      </c>
    </row>
    <row r="101" spans="2:12" ht="9.75" customHeight="1">
      <c r="B101" s="6" t="s">
        <v>45</v>
      </c>
      <c r="C101" s="2">
        <v>29428</v>
      </c>
      <c r="D101" s="2">
        <v>891</v>
      </c>
      <c r="E101" s="2">
        <v>1743</v>
      </c>
      <c r="F101" s="2">
        <v>9651</v>
      </c>
      <c r="G101" s="2">
        <v>222</v>
      </c>
      <c r="H101" s="2">
        <v>266</v>
      </c>
      <c r="I101" s="2">
        <v>142</v>
      </c>
      <c r="J101" s="2">
        <v>54</v>
      </c>
      <c r="K101" s="2">
        <v>149</v>
      </c>
      <c r="L101" s="2">
        <v>49</v>
      </c>
    </row>
    <row r="102" spans="1:12" ht="9.75" customHeight="1">
      <c r="A102" s="4" t="s">
        <v>144</v>
      </c>
      <c r="C102" s="3">
        <v>59312</v>
      </c>
      <c r="D102" s="3">
        <v>1425</v>
      </c>
      <c r="E102" s="3">
        <v>3949</v>
      </c>
      <c r="F102" s="3">
        <v>11858</v>
      </c>
      <c r="G102" s="3">
        <v>288</v>
      </c>
      <c r="H102" s="3">
        <v>1118</v>
      </c>
      <c r="I102" s="3">
        <v>477</v>
      </c>
      <c r="J102" s="3">
        <v>260</v>
      </c>
      <c r="K102" s="3">
        <v>246</v>
      </c>
      <c r="L102" s="3">
        <v>184</v>
      </c>
    </row>
    <row r="103" spans="2:12" s="5" customFormat="1" ht="9.75" customHeight="1">
      <c r="B103" s="7" t="s">
        <v>145</v>
      </c>
      <c r="C103" s="5">
        <f>C102/64686</f>
        <v>0.9169217450452958</v>
      </c>
      <c r="D103" s="5">
        <f>D102/64686</f>
        <v>0.022029496336146925</v>
      </c>
      <c r="E103" s="5">
        <f>E102/64686</f>
        <v>0.06104875861855734</v>
      </c>
      <c r="F103" s="5">
        <f>F102/11858</f>
        <v>1</v>
      </c>
      <c r="G103" s="5">
        <f>G102/288</f>
        <v>1</v>
      </c>
      <c r="H103" s="5">
        <f>H102/1855</f>
        <v>0.6026954177897574</v>
      </c>
      <c r="I103" s="5">
        <f>I102/1855</f>
        <v>0.2571428571428571</v>
      </c>
      <c r="J103" s="5">
        <f>J102/1855</f>
        <v>0.14016172506738545</v>
      </c>
      <c r="K103" s="5">
        <f>K102/246</f>
        <v>1</v>
      </c>
      <c r="L103" s="5">
        <f>L102/184</f>
        <v>1</v>
      </c>
    </row>
    <row r="104" spans="2:12" ht="4.5" customHeight="1"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9.75" customHeight="1">
      <c r="A105" s="4" t="s">
        <v>53</v>
      </c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ht="9.75" customHeight="1">
      <c r="B106" s="6" t="s">
        <v>51</v>
      </c>
      <c r="C106" s="2">
        <v>6658</v>
      </c>
      <c r="D106" s="2">
        <v>293</v>
      </c>
      <c r="E106" s="2">
        <v>449</v>
      </c>
      <c r="F106" s="2">
        <v>4968</v>
      </c>
      <c r="G106" s="2">
        <v>90</v>
      </c>
      <c r="H106" s="2">
        <v>23</v>
      </c>
      <c r="I106" s="2">
        <v>15</v>
      </c>
      <c r="J106" s="2">
        <v>16</v>
      </c>
      <c r="K106" s="2">
        <v>61</v>
      </c>
      <c r="L106" s="2">
        <v>6</v>
      </c>
    </row>
    <row r="107" spans="2:12" ht="9.75" customHeight="1">
      <c r="B107" s="6" t="s">
        <v>45</v>
      </c>
      <c r="C107" s="2">
        <v>24662</v>
      </c>
      <c r="D107" s="2">
        <v>814</v>
      </c>
      <c r="E107" s="2">
        <v>1295</v>
      </c>
      <c r="F107" s="2">
        <v>20557</v>
      </c>
      <c r="G107" s="2">
        <v>301</v>
      </c>
      <c r="H107" s="2">
        <v>76</v>
      </c>
      <c r="I107" s="2">
        <v>43</v>
      </c>
      <c r="J107" s="2">
        <v>35</v>
      </c>
      <c r="K107" s="2">
        <v>171</v>
      </c>
      <c r="L107" s="2">
        <v>13</v>
      </c>
    </row>
    <row r="108" spans="2:12" ht="9.75" customHeight="1">
      <c r="B108" s="6" t="s">
        <v>32</v>
      </c>
      <c r="C108" s="2">
        <v>5965</v>
      </c>
      <c r="D108" s="2">
        <v>425</v>
      </c>
      <c r="E108" s="2">
        <v>583</v>
      </c>
      <c r="F108" s="2">
        <v>5800</v>
      </c>
      <c r="G108" s="2">
        <v>97</v>
      </c>
      <c r="H108" s="2">
        <v>12</v>
      </c>
      <c r="I108" s="2">
        <v>19</v>
      </c>
      <c r="J108" s="2">
        <v>9</v>
      </c>
      <c r="K108" s="2">
        <v>30</v>
      </c>
      <c r="L108" s="2">
        <v>16</v>
      </c>
    </row>
    <row r="109" spans="2:12" ht="9.75" customHeight="1">
      <c r="B109" s="6" t="s">
        <v>43</v>
      </c>
      <c r="C109" s="2">
        <v>993</v>
      </c>
      <c r="D109" s="2">
        <v>59</v>
      </c>
      <c r="E109" s="2">
        <v>92</v>
      </c>
      <c r="F109" s="2">
        <v>668</v>
      </c>
      <c r="G109" s="2">
        <v>17</v>
      </c>
      <c r="H109" s="2">
        <v>0</v>
      </c>
      <c r="I109" s="2">
        <v>3</v>
      </c>
      <c r="J109" s="2">
        <v>0</v>
      </c>
      <c r="K109" s="2">
        <v>3</v>
      </c>
      <c r="L109" s="2">
        <v>3</v>
      </c>
    </row>
    <row r="110" spans="1:12" ht="9.75" customHeight="1">
      <c r="A110" s="4" t="s">
        <v>144</v>
      </c>
      <c r="C110" s="3">
        <v>38278</v>
      </c>
      <c r="D110" s="3">
        <v>1591</v>
      </c>
      <c r="E110" s="3">
        <v>2419</v>
      </c>
      <c r="F110" s="3">
        <v>31993</v>
      </c>
      <c r="G110" s="3">
        <v>505</v>
      </c>
      <c r="H110" s="3">
        <v>111</v>
      </c>
      <c r="I110" s="3">
        <v>80</v>
      </c>
      <c r="J110" s="3">
        <v>60</v>
      </c>
      <c r="K110" s="3">
        <v>265</v>
      </c>
      <c r="L110" s="3">
        <v>38</v>
      </c>
    </row>
    <row r="111" spans="2:12" s="5" customFormat="1" ht="9.75" customHeight="1">
      <c r="B111" s="7" t="s">
        <v>145</v>
      </c>
      <c r="C111" s="5">
        <f>C110/42288</f>
        <v>0.9051740446462353</v>
      </c>
      <c r="D111" s="5">
        <f>D110/42288</f>
        <v>0.037622966326144536</v>
      </c>
      <c r="E111" s="5">
        <f>E110/42288</f>
        <v>0.05720298902762013</v>
      </c>
      <c r="F111" s="5">
        <f>F110/31993</f>
        <v>1</v>
      </c>
      <c r="G111" s="5">
        <f>G110/505</f>
        <v>1</v>
      </c>
      <c r="H111" s="5">
        <f>H110/251</f>
        <v>0.44223107569721115</v>
      </c>
      <c r="I111" s="5">
        <f>I110/251</f>
        <v>0.3187250996015936</v>
      </c>
      <c r="J111" s="5">
        <f>J110/251</f>
        <v>0.23904382470119523</v>
      </c>
      <c r="K111" s="5">
        <f>K110/265</f>
        <v>1</v>
      </c>
      <c r="L111" s="5">
        <f>L110/38</f>
        <v>1</v>
      </c>
    </row>
    <row r="112" spans="2:12" ht="4.5" customHeight="1"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9.75" customHeight="1">
      <c r="A113" s="4" t="s">
        <v>54</v>
      </c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ht="9.75" customHeight="1">
      <c r="B114" s="6" t="s">
        <v>51</v>
      </c>
      <c r="C114" s="2">
        <v>56769</v>
      </c>
      <c r="D114" s="2">
        <v>1863</v>
      </c>
      <c r="E114" s="2">
        <v>3329</v>
      </c>
      <c r="F114" s="2">
        <v>6505</v>
      </c>
      <c r="G114" s="2">
        <v>273</v>
      </c>
      <c r="H114" s="2">
        <v>960</v>
      </c>
      <c r="I114" s="2">
        <v>315</v>
      </c>
      <c r="J114" s="2">
        <v>209</v>
      </c>
      <c r="K114" s="2">
        <v>190</v>
      </c>
      <c r="L114" s="2">
        <v>152</v>
      </c>
    </row>
    <row r="115" spans="1:12" ht="9.75" customHeight="1">
      <c r="A115" s="4" t="s">
        <v>144</v>
      </c>
      <c r="C115" s="3">
        <v>56769</v>
      </c>
      <c r="D115" s="3">
        <v>1863</v>
      </c>
      <c r="E115" s="3">
        <v>3329</v>
      </c>
      <c r="F115" s="3">
        <v>6505</v>
      </c>
      <c r="G115" s="3">
        <v>273</v>
      </c>
      <c r="H115" s="3">
        <v>960</v>
      </c>
      <c r="I115" s="3">
        <v>315</v>
      </c>
      <c r="J115" s="3">
        <v>209</v>
      </c>
      <c r="K115" s="3">
        <v>190</v>
      </c>
      <c r="L115" s="3">
        <v>152</v>
      </c>
    </row>
    <row r="116" spans="2:12" s="5" customFormat="1" ht="9.75" customHeight="1">
      <c r="B116" s="7" t="s">
        <v>145</v>
      </c>
      <c r="C116" s="5">
        <f>C115/61961</f>
        <v>0.9162053549813592</v>
      </c>
      <c r="D116" s="5">
        <f>D115/61961</f>
        <v>0.030067300398637854</v>
      </c>
      <c r="E116" s="5">
        <f>E115/61961</f>
        <v>0.053727344620002906</v>
      </c>
      <c r="F116" s="5">
        <f>F115/6505</f>
        <v>1</v>
      </c>
      <c r="G116" s="5">
        <f>G115/273</f>
        <v>1</v>
      </c>
      <c r="H116" s="5">
        <f>H115/1484</f>
        <v>0.6469002695417789</v>
      </c>
      <c r="I116" s="5">
        <f>I115/1484</f>
        <v>0.21226415094339623</v>
      </c>
      <c r="J116" s="5">
        <f>J115/1484</f>
        <v>0.1408355795148248</v>
      </c>
      <c r="K116" s="5">
        <f>K115/190</f>
        <v>1</v>
      </c>
      <c r="L116" s="5">
        <f>L115/152</f>
        <v>1</v>
      </c>
    </row>
    <row r="117" spans="2:12" ht="4.5" customHeight="1"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9.75" customHeight="1">
      <c r="A118" s="4" t="s">
        <v>57</v>
      </c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ht="9.75" customHeight="1">
      <c r="B119" s="6" t="s">
        <v>55</v>
      </c>
      <c r="C119" s="2">
        <v>8579</v>
      </c>
      <c r="D119" s="2">
        <v>605</v>
      </c>
      <c r="E119" s="2">
        <v>1249</v>
      </c>
      <c r="F119" s="2">
        <v>8463</v>
      </c>
      <c r="G119" s="2">
        <v>168</v>
      </c>
      <c r="H119" s="2">
        <v>17</v>
      </c>
      <c r="I119" s="2">
        <v>20</v>
      </c>
      <c r="J119" s="2">
        <v>10</v>
      </c>
      <c r="K119" s="2">
        <v>43</v>
      </c>
      <c r="L119" s="2">
        <v>8</v>
      </c>
    </row>
    <row r="120" spans="2:12" ht="9.75" customHeight="1">
      <c r="B120" s="6" t="s">
        <v>43</v>
      </c>
      <c r="C120" s="2">
        <v>10128</v>
      </c>
      <c r="D120" s="2">
        <v>590</v>
      </c>
      <c r="E120" s="2">
        <v>945</v>
      </c>
      <c r="F120" s="2">
        <v>5685</v>
      </c>
      <c r="G120" s="2">
        <v>163</v>
      </c>
      <c r="H120" s="2">
        <v>24</v>
      </c>
      <c r="I120" s="2">
        <v>24</v>
      </c>
      <c r="J120" s="2">
        <v>8</v>
      </c>
      <c r="K120" s="2">
        <v>52</v>
      </c>
      <c r="L120" s="2">
        <v>17</v>
      </c>
    </row>
    <row r="121" spans="2:12" ht="9.75" customHeight="1">
      <c r="B121" s="6" t="s">
        <v>56</v>
      </c>
      <c r="C121" s="2">
        <v>513</v>
      </c>
      <c r="D121" s="2">
        <v>62</v>
      </c>
      <c r="E121" s="2">
        <v>74</v>
      </c>
      <c r="F121" s="2">
        <v>420</v>
      </c>
      <c r="G121" s="2">
        <v>16</v>
      </c>
      <c r="H121" s="2">
        <v>0</v>
      </c>
      <c r="I121" s="2">
        <v>3</v>
      </c>
      <c r="J121" s="2">
        <v>0</v>
      </c>
      <c r="K121" s="2">
        <v>4</v>
      </c>
      <c r="L121" s="2">
        <v>0</v>
      </c>
    </row>
    <row r="122" spans="1:12" ht="9.75" customHeight="1">
      <c r="A122" s="4" t="s">
        <v>144</v>
      </c>
      <c r="C122" s="3">
        <v>19220</v>
      </c>
      <c r="D122" s="3">
        <v>1257</v>
      </c>
      <c r="E122" s="3">
        <v>2268</v>
      </c>
      <c r="F122" s="3">
        <v>14568</v>
      </c>
      <c r="G122" s="3">
        <v>347</v>
      </c>
      <c r="H122" s="3">
        <v>41</v>
      </c>
      <c r="I122" s="3">
        <v>47</v>
      </c>
      <c r="J122" s="3">
        <v>18</v>
      </c>
      <c r="K122" s="3">
        <v>99</v>
      </c>
      <c r="L122" s="3">
        <v>25</v>
      </c>
    </row>
    <row r="123" spans="2:12" s="5" customFormat="1" ht="9.75" customHeight="1">
      <c r="B123" s="7" t="s">
        <v>145</v>
      </c>
      <c r="C123" s="5">
        <f>C122/22745</f>
        <v>0.8450208837107056</v>
      </c>
      <c r="D123" s="5">
        <f>D122/22745</f>
        <v>0.05526489338316114</v>
      </c>
      <c r="E123" s="5">
        <f>E122/22745</f>
        <v>0.09971422290613322</v>
      </c>
      <c r="F123" s="5">
        <f>F122/14568</f>
        <v>1</v>
      </c>
      <c r="G123" s="5">
        <f>G122/347</f>
        <v>1</v>
      </c>
      <c r="H123" s="5">
        <f>H122/106</f>
        <v>0.3867924528301887</v>
      </c>
      <c r="I123" s="5">
        <f>I122/106</f>
        <v>0.44339622641509435</v>
      </c>
      <c r="J123" s="5">
        <f>J122/106</f>
        <v>0.16981132075471697</v>
      </c>
      <c r="K123" s="5">
        <f>K122/99</f>
        <v>1</v>
      </c>
      <c r="L123" s="5">
        <f>L122/25</f>
        <v>1</v>
      </c>
    </row>
    <row r="124" spans="2:12" ht="4.5" customHeight="1"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9.75" customHeight="1">
      <c r="A125" s="4" t="s">
        <v>58</v>
      </c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9.75" customHeight="1">
      <c r="B126" s="6" t="s">
        <v>51</v>
      </c>
      <c r="C126" s="2">
        <v>41429</v>
      </c>
      <c r="D126" s="2">
        <v>1551</v>
      </c>
      <c r="E126" s="2">
        <v>2604</v>
      </c>
      <c r="F126" s="2">
        <v>12290</v>
      </c>
      <c r="G126" s="2">
        <v>293</v>
      </c>
      <c r="H126" s="2">
        <v>163</v>
      </c>
      <c r="I126" s="2">
        <v>104</v>
      </c>
      <c r="J126" s="2">
        <v>79</v>
      </c>
      <c r="K126" s="2">
        <v>190</v>
      </c>
      <c r="L126" s="2">
        <v>48</v>
      </c>
    </row>
    <row r="127" spans="1:12" ht="9.75" customHeight="1">
      <c r="A127" s="4" t="s">
        <v>144</v>
      </c>
      <c r="C127" s="3">
        <v>41429</v>
      </c>
      <c r="D127" s="3">
        <v>1551</v>
      </c>
      <c r="E127" s="3">
        <v>2604</v>
      </c>
      <c r="F127" s="3">
        <v>12290</v>
      </c>
      <c r="G127" s="3">
        <v>293</v>
      </c>
      <c r="H127" s="3">
        <v>163</v>
      </c>
      <c r="I127" s="3">
        <v>104</v>
      </c>
      <c r="J127" s="3">
        <v>79</v>
      </c>
      <c r="K127" s="3">
        <v>190</v>
      </c>
      <c r="L127" s="3">
        <v>48</v>
      </c>
    </row>
    <row r="128" spans="2:12" s="5" customFormat="1" ht="9.75" customHeight="1">
      <c r="B128" s="7" t="s">
        <v>145</v>
      </c>
      <c r="C128" s="5">
        <f>C127/45584</f>
        <v>0.9088495963495964</v>
      </c>
      <c r="D128" s="5">
        <f>D127/45584</f>
        <v>0.034025096525096526</v>
      </c>
      <c r="E128" s="5">
        <f>E127/45584</f>
        <v>0.057125307125307126</v>
      </c>
      <c r="F128" s="5">
        <f>F127/12290</f>
        <v>1</v>
      </c>
      <c r="G128" s="5">
        <f>G127/293</f>
        <v>1</v>
      </c>
      <c r="H128" s="5">
        <f>H127/346</f>
        <v>0.47109826589595377</v>
      </c>
      <c r="I128" s="5">
        <f>I127/346</f>
        <v>0.30057803468208094</v>
      </c>
      <c r="J128" s="5">
        <f>J127/346</f>
        <v>0.22832369942196531</v>
      </c>
      <c r="K128" s="5">
        <f>K127/190</f>
        <v>1</v>
      </c>
      <c r="L128" s="5">
        <f>L127/48</f>
        <v>1</v>
      </c>
    </row>
    <row r="129" spans="2:12" ht="4.5" customHeight="1"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9.75" customHeight="1">
      <c r="A130" s="4" t="s">
        <v>59</v>
      </c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9.75" customHeight="1">
      <c r="B131" s="6" t="s">
        <v>48</v>
      </c>
      <c r="C131" s="2">
        <v>44467</v>
      </c>
      <c r="D131" s="2">
        <v>1485</v>
      </c>
      <c r="E131" s="2">
        <v>2626</v>
      </c>
      <c r="F131" s="2">
        <v>13783</v>
      </c>
      <c r="G131" s="2">
        <v>376</v>
      </c>
      <c r="H131" s="2">
        <v>304</v>
      </c>
      <c r="I131" s="2">
        <v>173</v>
      </c>
      <c r="J131" s="2">
        <v>46</v>
      </c>
      <c r="K131" s="2">
        <v>216</v>
      </c>
      <c r="L131" s="2">
        <v>35</v>
      </c>
    </row>
    <row r="132" spans="1:12" ht="9.75" customHeight="1">
      <c r="A132" s="4" t="s">
        <v>144</v>
      </c>
      <c r="C132" s="3">
        <v>44467</v>
      </c>
      <c r="D132" s="3">
        <v>1485</v>
      </c>
      <c r="E132" s="3">
        <v>2626</v>
      </c>
      <c r="F132" s="3">
        <v>13783</v>
      </c>
      <c r="G132" s="3">
        <v>376</v>
      </c>
      <c r="H132" s="3">
        <v>304</v>
      </c>
      <c r="I132" s="3">
        <v>173</v>
      </c>
      <c r="J132" s="3">
        <v>46</v>
      </c>
      <c r="K132" s="3">
        <v>216</v>
      </c>
      <c r="L132" s="3">
        <v>35</v>
      </c>
    </row>
    <row r="133" spans="2:12" s="5" customFormat="1" ht="9.75" customHeight="1">
      <c r="B133" s="7" t="s">
        <v>145</v>
      </c>
      <c r="C133" s="5">
        <f>C132/48578</f>
        <v>0.9153732142121949</v>
      </c>
      <c r="D133" s="5">
        <f>D132/48578</f>
        <v>0.030569393552636995</v>
      </c>
      <c r="E133" s="5">
        <f>E132/48578</f>
        <v>0.054057392235168186</v>
      </c>
      <c r="F133" s="5">
        <f>F132/13783</f>
        <v>1</v>
      </c>
      <c r="G133" s="5">
        <f>G132/376</f>
        <v>1</v>
      </c>
      <c r="H133" s="5">
        <f>H132/523</f>
        <v>0.5812619502868069</v>
      </c>
      <c r="I133" s="5">
        <f>I132/523</f>
        <v>0.33078393881453155</v>
      </c>
      <c r="J133" s="5">
        <f>J132/523</f>
        <v>0.08795411089866156</v>
      </c>
      <c r="K133" s="5">
        <f>K132/216</f>
        <v>1</v>
      </c>
      <c r="L133" s="5">
        <f>L132/35</f>
        <v>1</v>
      </c>
    </row>
    <row r="134" spans="2:12" ht="4.5" customHeight="1"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9.75" customHeight="1">
      <c r="A135" s="4" t="s">
        <v>61</v>
      </c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ht="9.75" customHeight="1">
      <c r="B136" s="6" t="s">
        <v>51</v>
      </c>
      <c r="C136" s="2">
        <v>26724</v>
      </c>
      <c r="D136" s="2">
        <v>983</v>
      </c>
      <c r="E136" s="2">
        <v>2068</v>
      </c>
      <c r="F136" s="2">
        <v>9981</v>
      </c>
      <c r="G136" s="2">
        <v>211</v>
      </c>
      <c r="H136" s="2">
        <v>85</v>
      </c>
      <c r="I136" s="2">
        <v>62</v>
      </c>
      <c r="J136" s="2">
        <v>42</v>
      </c>
      <c r="K136" s="2">
        <v>155</v>
      </c>
      <c r="L136" s="2">
        <v>27</v>
      </c>
    </row>
    <row r="137" spans="2:12" ht="9.75" customHeight="1">
      <c r="B137" s="6" t="s">
        <v>60</v>
      </c>
      <c r="C137" s="2">
        <v>3585</v>
      </c>
      <c r="D137" s="2">
        <v>191</v>
      </c>
      <c r="E137" s="2">
        <v>323</v>
      </c>
      <c r="F137" s="2">
        <v>1798</v>
      </c>
      <c r="G137" s="2">
        <v>63</v>
      </c>
      <c r="H137" s="2">
        <v>7</v>
      </c>
      <c r="I137" s="2">
        <v>13</v>
      </c>
      <c r="J137" s="2">
        <v>3</v>
      </c>
      <c r="K137" s="2">
        <v>25</v>
      </c>
      <c r="L137" s="2">
        <v>7</v>
      </c>
    </row>
    <row r="138" spans="1:12" ht="9.75" customHeight="1">
      <c r="A138" s="4" t="s">
        <v>144</v>
      </c>
      <c r="C138" s="3">
        <v>30309</v>
      </c>
      <c r="D138" s="3">
        <v>1174</v>
      </c>
      <c r="E138" s="3">
        <v>2391</v>
      </c>
      <c r="F138" s="3">
        <v>11779</v>
      </c>
      <c r="G138" s="3">
        <v>274</v>
      </c>
      <c r="H138" s="3">
        <v>92</v>
      </c>
      <c r="I138" s="3">
        <v>75</v>
      </c>
      <c r="J138" s="3">
        <v>45</v>
      </c>
      <c r="K138" s="3">
        <v>180</v>
      </c>
      <c r="L138" s="3">
        <v>34</v>
      </c>
    </row>
    <row r="139" spans="2:12" s="5" customFormat="1" ht="9.75" customHeight="1">
      <c r="B139" s="7" t="s">
        <v>145</v>
      </c>
      <c r="C139" s="5">
        <f>C138/33874</f>
        <v>0.8947570407982524</v>
      </c>
      <c r="D139" s="5">
        <f>D138/33874</f>
        <v>0.034657849678219284</v>
      </c>
      <c r="E139" s="5">
        <f>E138/33874</f>
        <v>0.07058510952352837</v>
      </c>
      <c r="F139" s="5">
        <f>F138/11779</f>
        <v>1</v>
      </c>
      <c r="G139" s="5">
        <f>G138/274</f>
        <v>1</v>
      </c>
      <c r="H139" s="5">
        <f>H138/212</f>
        <v>0.4339622641509434</v>
      </c>
      <c r="I139" s="5">
        <f>I138/212</f>
        <v>0.35377358490566035</v>
      </c>
      <c r="J139" s="5">
        <f>J138/212</f>
        <v>0.21226415094339623</v>
      </c>
      <c r="K139" s="5">
        <f>K138/180</f>
        <v>1</v>
      </c>
      <c r="L139" s="5">
        <f>L138/34</f>
        <v>1</v>
      </c>
    </row>
    <row r="140" spans="2:12" ht="4.5" customHeight="1"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9.75" customHeight="1">
      <c r="A141" s="4" t="s">
        <v>62</v>
      </c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ht="9.75" customHeight="1">
      <c r="B142" s="6" t="s">
        <v>48</v>
      </c>
      <c r="C142" s="2">
        <v>20225</v>
      </c>
      <c r="D142" s="2">
        <v>599</v>
      </c>
      <c r="E142" s="2">
        <v>1020</v>
      </c>
      <c r="F142" s="2">
        <v>8286</v>
      </c>
      <c r="G142" s="2">
        <v>165</v>
      </c>
      <c r="H142" s="2">
        <v>123</v>
      </c>
      <c r="I142" s="2">
        <v>64</v>
      </c>
      <c r="J142" s="2">
        <v>43</v>
      </c>
      <c r="K142" s="2">
        <v>139</v>
      </c>
      <c r="L142" s="2">
        <v>23</v>
      </c>
    </row>
    <row r="143" spans="2:12" ht="9.75" customHeight="1">
      <c r="B143" s="6" t="s">
        <v>60</v>
      </c>
      <c r="C143" s="2">
        <v>24928</v>
      </c>
      <c r="D143" s="2">
        <v>713</v>
      </c>
      <c r="E143" s="2">
        <v>1185</v>
      </c>
      <c r="F143" s="2">
        <v>13211</v>
      </c>
      <c r="G143" s="2">
        <v>198</v>
      </c>
      <c r="H143" s="2">
        <v>110</v>
      </c>
      <c r="I143" s="2">
        <v>106</v>
      </c>
      <c r="J143" s="2">
        <v>58</v>
      </c>
      <c r="K143" s="2">
        <v>216</v>
      </c>
      <c r="L143" s="2">
        <v>20</v>
      </c>
    </row>
    <row r="144" spans="1:12" ht="9.75" customHeight="1">
      <c r="A144" s="4" t="s">
        <v>144</v>
      </c>
      <c r="C144" s="3">
        <v>45153</v>
      </c>
      <c r="D144" s="3">
        <v>1312</v>
      </c>
      <c r="E144" s="3">
        <v>2205</v>
      </c>
      <c r="F144" s="3">
        <v>21497</v>
      </c>
      <c r="G144" s="3">
        <v>363</v>
      </c>
      <c r="H144" s="3">
        <v>233</v>
      </c>
      <c r="I144" s="3">
        <v>170</v>
      </c>
      <c r="J144" s="3">
        <v>101</v>
      </c>
      <c r="K144" s="3">
        <v>355</v>
      </c>
      <c r="L144" s="3">
        <v>43</v>
      </c>
    </row>
    <row r="145" spans="2:12" s="5" customFormat="1" ht="9.75" customHeight="1">
      <c r="B145" s="7" t="s">
        <v>145</v>
      </c>
      <c r="C145" s="5">
        <f>C144/48670</f>
        <v>0.9277378261762893</v>
      </c>
      <c r="D145" s="5">
        <f>D144/48670</f>
        <v>0.026957057735771523</v>
      </c>
      <c r="E145" s="5">
        <f>E144/48670</f>
        <v>0.04530511608793918</v>
      </c>
      <c r="F145" s="5">
        <f>F144/21497</f>
        <v>1</v>
      </c>
      <c r="G145" s="5">
        <f>G144/363</f>
        <v>1</v>
      </c>
      <c r="H145" s="5">
        <f>H144/504</f>
        <v>0.4623015873015873</v>
      </c>
      <c r="I145" s="5">
        <f>I144/504</f>
        <v>0.3373015873015873</v>
      </c>
      <c r="J145" s="5">
        <f>J144/504</f>
        <v>0.2003968253968254</v>
      </c>
      <c r="K145" s="5">
        <f>K144/355</f>
        <v>1</v>
      </c>
      <c r="L145" s="5">
        <f>L144/43</f>
        <v>1</v>
      </c>
    </row>
    <row r="146" spans="2:12" ht="4.5" customHeight="1"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9.75" customHeight="1">
      <c r="A147" s="4" t="s">
        <v>63</v>
      </c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ht="9.75" customHeight="1">
      <c r="B148" s="6" t="s">
        <v>60</v>
      </c>
      <c r="C148" s="2">
        <v>29449</v>
      </c>
      <c r="D148" s="2">
        <v>1451</v>
      </c>
      <c r="E148" s="2">
        <v>2078</v>
      </c>
      <c r="F148" s="2">
        <v>13937</v>
      </c>
      <c r="G148" s="2">
        <v>406</v>
      </c>
      <c r="H148" s="2">
        <v>147</v>
      </c>
      <c r="I148" s="2">
        <v>150</v>
      </c>
      <c r="J148" s="2">
        <v>51</v>
      </c>
      <c r="K148" s="2">
        <v>380</v>
      </c>
      <c r="L148" s="2">
        <v>36</v>
      </c>
    </row>
    <row r="149" spans="1:12" ht="9.75" customHeight="1">
      <c r="A149" s="4" t="s">
        <v>144</v>
      </c>
      <c r="C149" s="3">
        <v>29449</v>
      </c>
      <c r="D149" s="3">
        <v>1451</v>
      </c>
      <c r="E149" s="3">
        <v>2078</v>
      </c>
      <c r="F149" s="3">
        <v>13937</v>
      </c>
      <c r="G149" s="3">
        <v>406</v>
      </c>
      <c r="H149" s="3">
        <v>147</v>
      </c>
      <c r="I149" s="3">
        <v>150</v>
      </c>
      <c r="J149" s="3">
        <v>51</v>
      </c>
      <c r="K149" s="3">
        <v>380</v>
      </c>
      <c r="L149" s="3">
        <v>36</v>
      </c>
    </row>
    <row r="150" spans="2:12" s="5" customFormat="1" ht="9.75" customHeight="1">
      <c r="B150" s="7" t="s">
        <v>145</v>
      </c>
      <c r="C150" s="5">
        <f>C149/32978</f>
        <v>0.8929892655709867</v>
      </c>
      <c r="D150" s="5">
        <f>D149/32978</f>
        <v>0.04399902965613439</v>
      </c>
      <c r="E150" s="5">
        <f>E149/32978</f>
        <v>0.06301170477287889</v>
      </c>
      <c r="F150" s="5">
        <f>F149/13937</f>
        <v>1</v>
      </c>
      <c r="G150" s="5">
        <f>G149/406</f>
        <v>1</v>
      </c>
      <c r="H150" s="5">
        <f>H149/348</f>
        <v>0.4224137931034483</v>
      </c>
      <c r="I150" s="5">
        <f>I149/348</f>
        <v>0.43103448275862066</v>
      </c>
      <c r="J150" s="5">
        <f>J149/348</f>
        <v>0.14655172413793102</v>
      </c>
      <c r="K150" s="5">
        <f>K149/380</f>
        <v>1</v>
      </c>
      <c r="L150" s="5">
        <f>L149/36</f>
        <v>1</v>
      </c>
    </row>
    <row r="151" spans="2:12" ht="4.5" customHeight="1"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9.75" customHeight="1">
      <c r="A152" s="4" t="s">
        <v>64</v>
      </c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ht="9.75" customHeight="1">
      <c r="B153" s="6" t="s">
        <v>60</v>
      </c>
      <c r="C153" s="2">
        <v>23271</v>
      </c>
      <c r="D153" s="2">
        <v>1271</v>
      </c>
      <c r="E153" s="2">
        <v>1888</v>
      </c>
      <c r="F153" s="2">
        <v>9091</v>
      </c>
      <c r="G153" s="2">
        <v>434</v>
      </c>
      <c r="H153" s="2">
        <v>72</v>
      </c>
      <c r="I153" s="2">
        <v>99</v>
      </c>
      <c r="J153" s="2">
        <v>45</v>
      </c>
      <c r="K153" s="2">
        <v>139</v>
      </c>
      <c r="L153" s="2">
        <v>69</v>
      </c>
    </row>
    <row r="154" spans="1:12" ht="9.75" customHeight="1">
      <c r="A154" s="4" t="s">
        <v>144</v>
      </c>
      <c r="C154" s="3">
        <v>23271</v>
      </c>
      <c r="D154" s="3">
        <v>1271</v>
      </c>
      <c r="E154" s="3">
        <v>1888</v>
      </c>
      <c r="F154" s="3">
        <v>9091</v>
      </c>
      <c r="G154" s="3">
        <v>434</v>
      </c>
      <c r="H154" s="3">
        <v>72</v>
      </c>
      <c r="I154" s="3">
        <v>99</v>
      </c>
      <c r="J154" s="3">
        <v>45</v>
      </c>
      <c r="K154" s="3">
        <v>139</v>
      </c>
      <c r="L154" s="3">
        <v>69</v>
      </c>
    </row>
    <row r="155" spans="2:12" s="5" customFormat="1" ht="9.75" customHeight="1">
      <c r="B155" s="7" t="s">
        <v>145</v>
      </c>
      <c r="C155" s="5">
        <f>C154/26430</f>
        <v>0.8804767309875142</v>
      </c>
      <c r="D155" s="5">
        <f>D154/26430</f>
        <v>0.04808929247067726</v>
      </c>
      <c r="E155" s="5">
        <f>E154/26430</f>
        <v>0.07143397654180855</v>
      </c>
      <c r="F155" s="5">
        <f>F154/9091</f>
        <v>1</v>
      </c>
      <c r="G155" s="5">
        <f>G154/434</f>
        <v>1</v>
      </c>
      <c r="H155" s="5">
        <f>H154/216</f>
        <v>0.3333333333333333</v>
      </c>
      <c r="I155" s="5">
        <f>I154/216</f>
        <v>0.4583333333333333</v>
      </c>
      <c r="J155" s="5">
        <f>J154/216</f>
        <v>0.20833333333333334</v>
      </c>
      <c r="K155" s="5">
        <f>K154/139</f>
        <v>1</v>
      </c>
      <c r="L155" s="5">
        <f>L154/69</f>
        <v>1</v>
      </c>
    </row>
    <row r="156" spans="2:12" ht="4.5" customHeight="1"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9.75" customHeight="1">
      <c r="A157" s="4" t="s">
        <v>65</v>
      </c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ht="9.75" customHeight="1">
      <c r="B158" s="6" t="s">
        <v>60</v>
      </c>
      <c r="C158" s="2">
        <v>38088</v>
      </c>
      <c r="D158" s="2">
        <v>1765</v>
      </c>
      <c r="E158" s="2">
        <v>2662</v>
      </c>
      <c r="F158" s="2">
        <v>20288</v>
      </c>
      <c r="G158" s="2">
        <v>549</v>
      </c>
      <c r="H158" s="2">
        <v>155</v>
      </c>
      <c r="I158" s="2">
        <v>146</v>
      </c>
      <c r="J158" s="2">
        <v>78</v>
      </c>
      <c r="K158" s="2">
        <v>356</v>
      </c>
      <c r="L158" s="2">
        <v>41</v>
      </c>
    </row>
    <row r="159" spans="1:12" ht="9.75" customHeight="1">
      <c r="A159" s="4" t="s">
        <v>144</v>
      </c>
      <c r="C159" s="3">
        <v>38088</v>
      </c>
      <c r="D159" s="3">
        <v>1765</v>
      </c>
      <c r="E159" s="3">
        <v>2662</v>
      </c>
      <c r="F159" s="3">
        <v>20288</v>
      </c>
      <c r="G159" s="3">
        <v>549</v>
      </c>
      <c r="H159" s="3">
        <v>155</v>
      </c>
      <c r="I159" s="3">
        <v>146</v>
      </c>
      <c r="J159" s="3">
        <v>78</v>
      </c>
      <c r="K159" s="3">
        <v>356</v>
      </c>
      <c r="L159" s="3">
        <v>41</v>
      </c>
    </row>
    <row r="160" spans="2:12" s="5" customFormat="1" ht="9.75" customHeight="1">
      <c r="B160" s="7" t="s">
        <v>145</v>
      </c>
      <c r="C160" s="5">
        <f>C159/42515</f>
        <v>0.8958720451605315</v>
      </c>
      <c r="D160" s="5">
        <f>D159/42515</f>
        <v>0.04151475949664824</v>
      </c>
      <c r="E160" s="5">
        <f>E159/42515</f>
        <v>0.06261319534282019</v>
      </c>
      <c r="F160" s="5">
        <f>F159/20288</f>
        <v>1</v>
      </c>
      <c r="G160" s="5">
        <f>G159/549</f>
        <v>1</v>
      </c>
      <c r="H160" s="5">
        <f>H159/379</f>
        <v>0.40897097625329815</v>
      </c>
      <c r="I160" s="5">
        <f>I159/379</f>
        <v>0.38522427440633245</v>
      </c>
      <c r="J160" s="5">
        <f>J159/379</f>
        <v>0.20580474934036938</v>
      </c>
      <c r="K160" s="5">
        <f>K159/356</f>
        <v>1</v>
      </c>
      <c r="L160" s="5">
        <f>L159/41</f>
        <v>1</v>
      </c>
    </row>
    <row r="161" spans="2:12" ht="4.5" customHeight="1"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9.75" customHeight="1">
      <c r="A162" s="4" t="s">
        <v>71</v>
      </c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ht="9.75" customHeight="1">
      <c r="B163" s="6" t="s">
        <v>66</v>
      </c>
      <c r="C163" s="2">
        <v>3939</v>
      </c>
      <c r="D163" s="2">
        <v>337</v>
      </c>
      <c r="E163" s="2">
        <v>546</v>
      </c>
      <c r="F163" s="2">
        <v>4607</v>
      </c>
      <c r="G163" s="2">
        <v>95</v>
      </c>
      <c r="H163" s="2">
        <v>33</v>
      </c>
      <c r="I163" s="2">
        <v>38</v>
      </c>
      <c r="J163" s="2">
        <v>10</v>
      </c>
      <c r="K163" s="2">
        <v>94</v>
      </c>
      <c r="L163" s="2">
        <v>13</v>
      </c>
    </row>
    <row r="164" spans="2:12" ht="9.75" customHeight="1">
      <c r="B164" s="6" t="s">
        <v>67</v>
      </c>
      <c r="C164" s="2">
        <v>2945</v>
      </c>
      <c r="D164" s="2">
        <v>369</v>
      </c>
      <c r="E164" s="2">
        <v>435</v>
      </c>
      <c r="F164" s="2">
        <v>5534</v>
      </c>
      <c r="G164" s="2">
        <v>124</v>
      </c>
      <c r="H164" s="2">
        <v>20</v>
      </c>
      <c r="I164" s="2">
        <v>22</v>
      </c>
      <c r="J164" s="2">
        <v>3</v>
      </c>
      <c r="K164" s="2">
        <v>52</v>
      </c>
      <c r="L164" s="2">
        <v>7</v>
      </c>
    </row>
    <row r="165" spans="2:12" ht="9.75" customHeight="1">
      <c r="B165" s="6" t="s">
        <v>68</v>
      </c>
      <c r="C165" s="2">
        <v>1532</v>
      </c>
      <c r="D165" s="2">
        <v>147</v>
      </c>
      <c r="E165" s="2">
        <v>238</v>
      </c>
      <c r="F165" s="2">
        <v>2345</v>
      </c>
      <c r="G165" s="2">
        <v>57</v>
      </c>
      <c r="H165" s="2">
        <v>17</v>
      </c>
      <c r="I165" s="2">
        <v>23</v>
      </c>
      <c r="J165" s="2">
        <v>1</v>
      </c>
      <c r="K165" s="2">
        <v>24</v>
      </c>
      <c r="L165" s="2">
        <v>2</v>
      </c>
    </row>
    <row r="166" spans="2:12" ht="9.75" customHeight="1">
      <c r="B166" s="6" t="s">
        <v>69</v>
      </c>
      <c r="C166" s="2">
        <v>937</v>
      </c>
      <c r="D166" s="2">
        <v>59</v>
      </c>
      <c r="E166" s="2">
        <v>108</v>
      </c>
      <c r="F166" s="2">
        <v>1130</v>
      </c>
      <c r="G166" s="2">
        <v>27</v>
      </c>
      <c r="H166" s="2">
        <v>6</v>
      </c>
      <c r="I166" s="2">
        <v>12</v>
      </c>
      <c r="J166" s="2">
        <v>5</v>
      </c>
      <c r="K166" s="2">
        <v>18</v>
      </c>
      <c r="L166" s="2">
        <v>3</v>
      </c>
    </row>
    <row r="167" spans="2:12" ht="9.75" customHeight="1">
      <c r="B167" s="6" t="s">
        <v>56</v>
      </c>
      <c r="C167" s="2">
        <v>14840</v>
      </c>
      <c r="D167" s="2">
        <v>1439</v>
      </c>
      <c r="E167" s="2">
        <v>1650</v>
      </c>
      <c r="F167" s="2">
        <v>15983</v>
      </c>
      <c r="G167" s="2">
        <v>293</v>
      </c>
      <c r="H167" s="2">
        <v>23</v>
      </c>
      <c r="I167" s="2">
        <v>26</v>
      </c>
      <c r="J167" s="2">
        <v>10</v>
      </c>
      <c r="K167" s="2">
        <v>81</v>
      </c>
      <c r="L167" s="2">
        <v>30</v>
      </c>
    </row>
    <row r="168" spans="2:12" ht="9.75" customHeight="1">
      <c r="B168" s="6" t="s">
        <v>70</v>
      </c>
      <c r="C168" s="2">
        <v>5157</v>
      </c>
      <c r="D168" s="2">
        <v>385</v>
      </c>
      <c r="E168" s="2">
        <v>539</v>
      </c>
      <c r="F168" s="2">
        <v>6025</v>
      </c>
      <c r="G168" s="2">
        <v>117</v>
      </c>
      <c r="H168" s="2">
        <v>22</v>
      </c>
      <c r="I168" s="2">
        <v>37</v>
      </c>
      <c r="J168" s="2">
        <v>11</v>
      </c>
      <c r="K168" s="2">
        <v>55</v>
      </c>
      <c r="L168" s="2">
        <v>9</v>
      </c>
    </row>
    <row r="169" spans="1:12" ht="9.75" customHeight="1">
      <c r="A169" s="4" t="s">
        <v>144</v>
      </c>
      <c r="C169" s="3">
        <v>29350</v>
      </c>
      <c r="D169" s="3">
        <v>2736</v>
      </c>
      <c r="E169" s="3">
        <v>3516</v>
      </c>
      <c r="F169" s="3">
        <v>35624</v>
      </c>
      <c r="G169" s="3">
        <v>713</v>
      </c>
      <c r="H169" s="3">
        <v>121</v>
      </c>
      <c r="I169" s="3">
        <v>158</v>
      </c>
      <c r="J169" s="3">
        <v>40</v>
      </c>
      <c r="K169" s="3">
        <v>324</v>
      </c>
      <c r="L169" s="3">
        <v>64</v>
      </c>
    </row>
    <row r="170" spans="2:12" s="5" customFormat="1" ht="9.75" customHeight="1">
      <c r="B170" s="7" t="s">
        <v>145</v>
      </c>
      <c r="C170" s="5">
        <f>C169/35602</f>
        <v>0.8243918880961744</v>
      </c>
      <c r="D170" s="5">
        <f>D169/35602</f>
        <v>0.07684961519015786</v>
      </c>
      <c r="E170" s="5">
        <f>E169/35602</f>
        <v>0.09875849671366776</v>
      </c>
      <c r="F170" s="5">
        <f>F169/35624</f>
        <v>1</v>
      </c>
      <c r="G170" s="5">
        <f>G169/713</f>
        <v>1</v>
      </c>
      <c r="H170" s="5">
        <f>H169/319</f>
        <v>0.3793103448275862</v>
      </c>
      <c r="I170" s="5">
        <f>I169/319</f>
        <v>0.4952978056426332</v>
      </c>
      <c r="J170" s="5">
        <f>J169/319</f>
        <v>0.12539184952978055</v>
      </c>
      <c r="K170" s="5">
        <f>K169/324</f>
        <v>1</v>
      </c>
      <c r="L170" s="5">
        <f>L169/64</f>
        <v>1</v>
      </c>
    </row>
    <row r="171" spans="2:12" ht="4.5" customHeight="1"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9.75" customHeight="1">
      <c r="A172" s="4" t="s">
        <v>72</v>
      </c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ht="9.75" customHeight="1">
      <c r="B173" s="6" t="s">
        <v>43</v>
      </c>
      <c r="C173" s="2">
        <v>12590</v>
      </c>
      <c r="D173" s="2">
        <v>895</v>
      </c>
      <c r="E173" s="2">
        <v>1478</v>
      </c>
      <c r="F173" s="2">
        <v>14239</v>
      </c>
      <c r="G173" s="2">
        <v>208</v>
      </c>
      <c r="H173" s="2">
        <v>15</v>
      </c>
      <c r="I173" s="2">
        <v>33</v>
      </c>
      <c r="J173" s="2">
        <v>9</v>
      </c>
      <c r="K173" s="2">
        <v>73</v>
      </c>
      <c r="L173" s="2">
        <v>13</v>
      </c>
    </row>
    <row r="174" spans="2:12" ht="9.75" customHeight="1">
      <c r="B174" s="6" t="s">
        <v>56</v>
      </c>
      <c r="C174" s="2">
        <v>8183</v>
      </c>
      <c r="D174" s="2">
        <v>741</v>
      </c>
      <c r="E174" s="2">
        <v>1129</v>
      </c>
      <c r="F174" s="2">
        <v>7710</v>
      </c>
      <c r="G174" s="2">
        <v>168</v>
      </c>
      <c r="H174" s="2">
        <v>22</v>
      </c>
      <c r="I174" s="2">
        <v>16</v>
      </c>
      <c r="J174" s="2">
        <v>6</v>
      </c>
      <c r="K174" s="2">
        <v>49</v>
      </c>
      <c r="L174" s="2">
        <v>18</v>
      </c>
    </row>
    <row r="175" spans="1:12" ht="9.75" customHeight="1">
      <c r="A175" s="4" t="s">
        <v>144</v>
      </c>
      <c r="C175" s="3">
        <v>20773</v>
      </c>
      <c r="D175" s="3">
        <v>1636</v>
      </c>
      <c r="E175" s="3">
        <v>2607</v>
      </c>
      <c r="F175" s="3">
        <v>21949</v>
      </c>
      <c r="G175" s="3">
        <v>376</v>
      </c>
      <c r="H175" s="3">
        <v>37</v>
      </c>
      <c r="I175" s="3">
        <v>49</v>
      </c>
      <c r="J175" s="3">
        <v>15</v>
      </c>
      <c r="K175" s="3">
        <v>122</v>
      </c>
      <c r="L175" s="3">
        <v>31</v>
      </c>
    </row>
    <row r="176" spans="2:12" s="5" customFormat="1" ht="9.75" customHeight="1">
      <c r="B176" s="7" t="s">
        <v>145</v>
      </c>
      <c r="C176" s="5">
        <f>C175/25016</f>
        <v>0.8303885513271506</v>
      </c>
      <c r="D176" s="5">
        <f>D175/25016</f>
        <v>0.06539814518708027</v>
      </c>
      <c r="E176" s="5">
        <f>E175/25016</f>
        <v>0.10421330348576911</v>
      </c>
      <c r="F176" s="5">
        <f>F175/21949</f>
        <v>1</v>
      </c>
      <c r="G176" s="5">
        <f>G175/376</f>
        <v>1</v>
      </c>
      <c r="H176" s="5">
        <f>H175/101</f>
        <v>0.36633663366336633</v>
      </c>
      <c r="I176" s="5">
        <f>I175/101</f>
        <v>0.48514851485148514</v>
      </c>
      <c r="J176" s="5">
        <f>J175/101</f>
        <v>0.1485148514851485</v>
      </c>
      <c r="K176" s="5">
        <f>K175/122</f>
        <v>1</v>
      </c>
      <c r="L176" s="5">
        <f>L175/31</f>
        <v>1</v>
      </c>
    </row>
    <row r="177" spans="2:12" ht="4.5" customHeight="1"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9.75" customHeight="1">
      <c r="A178" s="4" t="s">
        <v>75</v>
      </c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ht="9.75" customHeight="1">
      <c r="B179" s="6" t="s">
        <v>73</v>
      </c>
      <c r="C179" s="2">
        <v>14576</v>
      </c>
      <c r="D179" s="2">
        <v>626</v>
      </c>
      <c r="E179" s="2">
        <v>973</v>
      </c>
      <c r="F179" s="2">
        <v>9424</v>
      </c>
      <c r="G179" s="2">
        <v>191</v>
      </c>
      <c r="H179" s="2">
        <v>92</v>
      </c>
      <c r="I179" s="2">
        <v>95</v>
      </c>
      <c r="J179" s="2">
        <v>39</v>
      </c>
      <c r="K179" s="2">
        <v>94</v>
      </c>
      <c r="L179" s="2">
        <v>17</v>
      </c>
    </row>
    <row r="180" spans="2:12" ht="9.75" customHeight="1">
      <c r="B180" s="6" t="s">
        <v>60</v>
      </c>
      <c r="C180" s="2">
        <v>3740</v>
      </c>
      <c r="D180" s="2">
        <v>179</v>
      </c>
      <c r="E180" s="2">
        <v>318</v>
      </c>
      <c r="F180" s="2">
        <v>3172</v>
      </c>
      <c r="G180" s="2">
        <v>83</v>
      </c>
      <c r="H180" s="2">
        <v>12</v>
      </c>
      <c r="I180" s="2">
        <v>11</v>
      </c>
      <c r="J180" s="2">
        <v>8</v>
      </c>
      <c r="K180" s="2">
        <v>41</v>
      </c>
      <c r="L180" s="2">
        <v>3</v>
      </c>
    </row>
    <row r="181" spans="2:12" ht="9.75" customHeight="1">
      <c r="B181" s="6" t="s">
        <v>74</v>
      </c>
      <c r="C181" s="2">
        <v>26975</v>
      </c>
      <c r="D181" s="2">
        <v>939</v>
      </c>
      <c r="E181" s="2">
        <v>2297</v>
      </c>
      <c r="F181" s="2">
        <v>9063</v>
      </c>
      <c r="G181" s="2">
        <v>301</v>
      </c>
      <c r="H181" s="2">
        <v>397</v>
      </c>
      <c r="I181" s="2">
        <v>341</v>
      </c>
      <c r="J181" s="2">
        <v>190</v>
      </c>
      <c r="K181" s="2">
        <v>291</v>
      </c>
      <c r="L181" s="2">
        <v>77</v>
      </c>
    </row>
    <row r="182" spans="1:12" ht="9.75" customHeight="1">
      <c r="A182" s="4" t="s">
        <v>144</v>
      </c>
      <c r="C182" s="3">
        <v>45291</v>
      </c>
      <c r="D182" s="3">
        <v>1744</v>
      </c>
      <c r="E182" s="3">
        <v>3588</v>
      </c>
      <c r="F182" s="3">
        <v>21659</v>
      </c>
      <c r="G182" s="3">
        <v>575</v>
      </c>
      <c r="H182" s="3">
        <v>501</v>
      </c>
      <c r="I182" s="3">
        <v>447</v>
      </c>
      <c r="J182" s="3">
        <v>237</v>
      </c>
      <c r="K182" s="3">
        <v>426</v>
      </c>
      <c r="L182" s="3">
        <v>97</v>
      </c>
    </row>
    <row r="183" spans="2:12" s="5" customFormat="1" ht="9.75" customHeight="1">
      <c r="B183" s="7" t="s">
        <v>145</v>
      </c>
      <c r="C183" s="5">
        <f>C182/50623</f>
        <v>0.8946723821187997</v>
      </c>
      <c r="D183" s="5">
        <f>D182/50623</f>
        <v>0.03445074373308575</v>
      </c>
      <c r="E183" s="5">
        <f>E182/50623</f>
        <v>0.0708768741481145</v>
      </c>
      <c r="F183" s="5">
        <f>F182/21659</f>
        <v>1</v>
      </c>
      <c r="G183" s="5">
        <f>G182/575</f>
        <v>1</v>
      </c>
      <c r="H183" s="5">
        <f>H182/1185</f>
        <v>0.42278481012658226</v>
      </c>
      <c r="I183" s="5">
        <f>I182/1185</f>
        <v>0.37721518987341773</v>
      </c>
      <c r="J183" s="5">
        <f>J182/1185</f>
        <v>0.2</v>
      </c>
      <c r="K183" s="5">
        <f>K182/426</f>
        <v>1</v>
      </c>
      <c r="L183" s="5">
        <f>L182/97</f>
        <v>1</v>
      </c>
    </row>
    <row r="184" spans="2:12" ht="4.5" customHeight="1"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9.75" customHeight="1">
      <c r="A185" s="4" t="s">
        <v>77</v>
      </c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ht="9.75" customHeight="1">
      <c r="B186" s="6" t="s">
        <v>73</v>
      </c>
      <c r="C186" s="2">
        <v>9851</v>
      </c>
      <c r="D186" s="2">
        <v>878</v>
      </c>
      <c r="E186" s="2">
        <v>861</v>
      </c>
      <c r="F186" s="2">
        <v>5922</v>
      </c>
      <c r="G186" s="2">
        <v>132</v>
      </c>
      <c r="H186" s="2">
        <v>24</v>
      </c>
      <c r="I186" s="2">
        <v>29</v>
      </c>
      <c r="J186" s="2">
        <v>11</v>
      </c>
      <c r="K186" s="2">
        <v>46</v>
      </c>
      <c r="L186" s="2">
        <v>15</v>
      </c>
    </row>
    <row r="187" spans="2:12" ht="9.75" customHeight="1">
      <c r="B187" s="6" t="s">
        <v>76</v>
      </c>
      <c r="C187" s="2">
        <v>4336</v>
      </c>
      <c r="D187" s="2">
        <v>275</v>
      </c>
      <c r="E187" s="2">
        <v>367</v>
      </c>
      <c r="F187" s="2">
        <v>2965</v>
      </c>
      <c r="G187" s="2">
        <v>87</v>
      </c>
      <c r="H187" s="2">
        <v>15</v>
      </c>
      <c r="I187" s="2">
        <v>13</v>
      </c>
      <c r="J187" s="2">
        <v>3</v>
      </c>
      <c r="K187" s="2">
        <v>26</v>
      </c>
      <c r="L187" s="2">
        <v>4</v>
      </c>
    </row>
    <row r="188" spans="2:12" ht="9.75" customHeight="1">
      <c r="B188" s="6" t="s">
        <v>60</v>
      </c>
      <c r="C188" s="2">
        <v>5572</v>
      </c>
      <c r="D188" s="2">
        <v>340</v>
      </c>
      <c r="E188" s="2">
        <v>391</v>
      </c>
      <c r="F188" s="2">
        <v>2897</v>
      </c>
      <c r="G188" s="2">
        <v>85</v>
      </c>
      <c r="H188" s="2">
        <v>20</v>
      </c>
      <c r="I188" s="2">
        <v>8</v>
      </c>
      <c r="J188" s="2">
        <v>3</v>
      </c>
      <c r="K188" s="2">
        <v>49</v>
      </c>
      <c r="L188" s="2">
        <v>11</v>
      </c>
    </row>
    <row r="189" spans="2:12" ht="9.75" customHeight="1">
      <c r="B189" s="6" t="s">
        <v>74</v>
      </c>
      <c r="C189" s="2">
        <v>4202</v>
      </c>
      <c r="D189" s="2">
        <v>334</v>
      </c>
      <c r="E189" s="2">
        <v>373</v>
      </c>
      <c r="F189" s="2">
        <v>1384</v>
      </c>
      <c r="G189" s="2">
        <v>59</v>
      </c>
      <c r="H189" s="2">
        <v>16</v>
      </c>
      <c r="I189" s="2">
        <v>18</v>
      </c>
      <c r="J189" s="2">
        <v>5</v>
      </c>
      <c r="K189" s="2">
        <v>13</v>
      </c>
      <c r="L189" s="2">
        <v>11</v>
      </c>
    </row>
    <row r="190" spans="1:12" ht="9.75" customHeight="1">
      <c r="A190" s="4" t="s">
        <v>144</v>
      </c>
      <c r="C190" s="3">
        <v>23961</v>
      </c>
      <c r="D190" s="3">
        <v>1827</v>
      </c>
      <c r="E190" s="3">
        <v>1992</v>
      </c>
      <c r="F190" s="3">
        <v>13168</v>
      </c>
      <c r="G190" s="3">
        <v>363</v>
      </c>
      <c r="H190" s="3">
        <v>75</v>
      </c>
      <c r="I190" s="3">
        <v>68</v>
      </c>
      <c r="J190" s="3">
        <v>22</v>
      </c>
      <c r="K190" s="3">
        <v>134</v>
      </c>
      <c r="L190" s="3">
        <v>41</v>
      </c>
    </row>
    <row r="191" spans="2:12" s="5" customFormat="1" ht="9.75" customHeight="1">
      <c r="B191" s="7" t="s">
        <v>145</v>
      </c>
      <c r="C191" s="5">
        <f>C190/27780</f>
        <v>0.8625269978401728</v>
      </c>
      <c r="D191" s="5">
        <f>D190/27780</f>
        <v>0.06576673866090713</v>
      </c>
      <c r="E191" s="5">
        <f>E190/27780</f>
        <v>0.07170626349892009</v>
      </c>
      <c r="F191" s="5">
        <f>F190/13168</f>
        <v>1</v>
      </c>
      <c r="G191" s="5">
        <f>G190/363</f>
        <v>1</v>
      </c>
      <c r="H191" s="5">
        <f>H190/165</f>
        <v>0.45454545454545453</v>
      </c>
      <c r="I191" s="5">
        <f>I190/165</f>
        <v>0.4121212121212121</v>
      </c>
      <c r="J191" s="5">
        <f>J190/165</f>
        <v>0.13333333333333333</v>
      </c>
      <c r="K191" s="5">
        <f>K190/134</f>
        <v>1</v>
      </c>
      <c r="L191" s="5">
        <f>L190/41</f>
        <v>1</v>
      </c>
    </row>
    <row r="192" spans="2:12" ht="4.5" customHeight="1"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9.75" customHeight="1">
      <c r="A193" s="4" t="s">
        <v>79</v>
      </c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ht="9.75" customHeight="1">
      <c r="B194" s="6" t="s">
        <v>78</v>
      </c>
      <c r="C194" s="2">
        <v>20129</v>
      </c>
      <c r="D194" s="2">
        <v>1127</v>
      </c>
      <c r="E194" s="2">
        <v>2223</v>
      </c>
      <c r="F194" s="2">
        <v>28724</v>
      </c>
      <c r="G194" s="2">
        <v>282</v>
      </c>
      <c r="H194" s="2">
        <v>69</v>
      </c>
      <c r="I194" s="2">
        <v>71</v>
      </c>
      <c r="J194" s="2">
        <v>32</v>
      </c>
      <c r="K194" s="2">
        <v>146</v>
      </c>
      <c r="L194" s="2">
        <v>27</v>
      </c>
    </row>
    <row r="195" spans="2:12" ht="9.75" customHeight="1">
      <c r="B195" s="6" t="s">
        <v>67</v>
      </c>
      <c r="C195" s="2">
        <v>2512</v>
      </c>
      <c r="D195" s="2">
        <v>219</v>
      </c>
      <c r="E195" s="2">
        <v>351</v>
      </c>
      <c r="F195" s="2">
        <v>3077</v>
      </c>
      <c r="G195" s="2">
        <v>55</v>
      </c>
      <c r="H195" s="2">
        <v>4</v>
      </c>
      <c r="I195" s="2">
        <v>10</v>
      </c>
      <c r="J195" s="2">
        <v>1</v>
      </c>
      <c r="K195" s="2">
        <v>13</v>
      </c>
      <c r="L195" s="2">
        <v>2</v>
      </c>
    </row>
    <row r="196" spans="2:12" ht="9.75" customHeight="1">
      <c r="B196" s="6" t="s">
        <v>82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</row>
    <row r="197" spans="1:12" ht="9.75" customHeight="1">
      <c r="A197" s="4" t="s">
        <v>144</v>
      </c>
      <c r="C197" s="3">
        <v>22641</v>
      </c>
      <c r="D197" s="3">
        <v>1346</v>
      </c>
      <c r="E197" s="3">
        <v>2574</v>
      </c>
      <c r="F197" s="3">
        <v>31801</v>
      </c>
      <c r="G197" s="3">
        <v>337</v>
      </c>
      <c r="H197" s="3">
        <v>73</v>
      </c>
      <c r="I197" s="3">
        <v>81</v>
      </c>
      <c r="J197" s="3">
        <v>33</v>
      </c>
      <c r="K197" s="3">
        <v>159</v>
      </c>
      <c r="L197" s="3">
        <v>29</v>
      </c>
    </row>
    <row r="198" spans="2:12" s="5" customFormat="1" ht="9.75" customHeight="1">
      <c r="B198" s="7" t="s">
        <v>145</v>
      </c>
      <c r="C198" s="5">
        <f>C197/26561</f>
        <v>0.8524151952110237</v>
      </c>
      <c r="D198" s="5">
        <f>D197/26561</f>
        <v>0.050675802868867886</v>
      </c>
      <c r="E198" s="5">
        <f>E197/26561</f>
        <v>0.09690900192010843</v>
      </c>
      <c r="F198" s="5">
        <f>F197/31801</f>
        <v>1</v>
      </c>
      <c r="G198" s="5">
        <f>G197/337</f>
        <v>1</v>
      </c>
      <c r="H198" s="5">
        <f>H197/187</f>
        <v>0.39037433155080214</v>
      </c>
      <c r="I198" s="5">
        <f>I197/187</f>
        <v>0.43315508021390375</v>
      </c>
      <c r="J198" s="5">
        <f>J197/187</f>
        <v>0.17647058823529413</v>
      </c>
      <c r="K198" s="5">
        <f>K197/159</f>
        <v>1</v>
      </c>
      <c r="L198" s="5">
        <f>L197/29</f>
        <v>1</v>
      </c>
    </row>
    <row r="199" spans="2:12" ht="4.5" customHeight="1"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9.75" customHeight="1">
      <c r="A200" s="4" t="s">
        <v>83</v>
      </c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ht="9.75" customHeight="1">
      <c r="B201" s="6" t="s">
        <v>78</v>
      </c>
      <c r="C201" s="2">
        <v>1395</v>
      </c>
      <c r="D201" s="2">
        <v>176</v>
      </c>
      <c r="E201" s="2">
        <v>168</v>
      </c>
      <c r="F201" s="2">
        <v>2318</v>
      </c>
      <c r="G201" s="2">
        <v>31</v>
      </c>
      <c r="H201" s="2">
        <v>1</v>
      </c>
      <c r="I201" s="2">
        <v>1</v>
      </c>
      <c r="J201" s="2">
        <v>0</v>
      </c>
      <c r="K201" s="2">
        <v>10</v>
      </c>
      <c r="L201" s="2">
        <v>4</v>
      </c>
    </row>
    <row r="202" spans="2:12" ht="9.75" customHeight="1">
      <c r="B202" s="6" t="s">
        <v>80</v>
      </c>
      <c r="C202" s="2">
        <v>5779</v>
      </c>
      <c r="D202" s="2">
        <v>626</v>
      </c>
      <c r="E202" s="2">
        <v>561</v>
      </c>
      <c r="F202" s="2">
        <v>3068</v>
      </c>
      <c r="G202" s="2">
        <v>56</v>
      </c>
      <c r="H202" s="2">
        <v>2</v>
      </c>
      <c r="I202" s="2">
        <v>6</v>
      </c>
      <c r="J202" s="2">
        <v>0</v>
      </c>
      <c r="K202" s="2">
        <v>13</v>
      </c>
      <c r="L202" s="2">
        <v>4</v>
      </c>
    </row>
    <row r="203" spans="2:12" ht="9.75" customHeight="1">
      <c r="B203" s="6" t="s">
        <v>81</v>
      </c>
      <c r="C203" s="2">
        <v>4617</v>
      </c>
      <c r="D203" s="2">
        <v>450</v>
      </c>
      <c r="E203" s="2">
        <v>553</v>
      </c>
      <c r="F203" s="2">
        <v>6144</v>
      </c>
      <c r="G203" s="2">
        <v>103</v>
      </c>
      <c r="H203" s="2">
        <v>7</v>
      </c>
      <c r="I203" s="2">
        <v>7</v>
      </c>
      <c r="J203" s="2">
        <v>2</v>
      </c>
      <c r="K203" s="2">
        <v>20</v>
      </c>
      <c r="L203" s="2">
        <v>0</v>
      </c>
    </row>
    <row r="204" spans="2:12" ht="9.75" customHeight="1">
      <c r="B204" s="6" t="s">
        <v>82</v>
      </c>
      <c r="C204" s="2">
        <v>835</v>
      </c>
      <c r="D204" s="2">
        <v>109</v>
      </c>
      <c r="E204" s="2">
        <v>98</v>
      </c>
      <c r="F204" s="2">
        <v>992</v>
      </c>
      <c r="G204" s="2">
        <v>23</v>
      </c>
      <c r="H204" s="2">
        <v>0</v>
      </c>
      <c r="I204" s="2">
        <v>0</v>
      </c>
      <c r="J204" s="2">
        <v>0</v>
      </c>
      <c r="K204" s="2">
        <v>4</v>
      </c>
      <c r="L204" s="2">
        <v>4</v>
      </c>
    </row>
    <row r="205" spans="1:12" ht="9.75" customHeight="1">
      <c r="A205" s="4" t="s">
        <v>144</v>
      </c>
      <c r="C205" s="3">
        <v>12626</v>
      </c>
      <c r="D205" s="3">
        <v>1361</v>
      </c>
      <c r="E205" s="3">
        <v>1380</v>
      </c>
      <c r="F205" s="3">
        <v>12522</v>
      </c>
      <c r="G205" s="3">
        <v>213</v>
      </c>
      <c r="H205" s="3">
        <v>10</v>
      </c>
      <c r="I205" s="3">
        <v>14</v>
      </c>
      <c r="J205" s="3">
        <v>2</v>
      </c>
      <c r="K205" s="3">
        <v>47</v>
      </c>
      <c r="L205" s="3">
        <v>12</v>
      </c>
    </row>
    <row r="206" spans="2:12" s="5" customFormat="1" ht="9.75" customHeight="1">
      <c r="B206" s="7" t="s">
        <v>145</v>
      </c>
      <c r="C206" s="5">
        <f>C205/15367</f>
        <v>0.8216307672284766</v>
      </c>
      <c r="D206" s="5">
        <f>D205/15367</f>
        <v>0.08856640853777575</v>
      </c>
      <c r="E206" s="5">
        <f>E205/15367</f>
        <v>0.08980282423374764</v>
      </c>
      <c r="F206" s="5">
        <f>F205/12522</f>
        <v>1</v>
      </c>
      <c r="G206" s="5">
        <f>G205/213</f>
        <v>1</v>
      </c>
      <c r="H206" s="5">
        <f>H205/26</f>
        <v>0.38461538461538464</v>
      </c>
      <c r="I206" s="5">
        <f>I205/26</f>
        <v>0.5384615384615384</v>
      </c>
      <c r="J206" s="5">
        <f>J205/26</f>
        <v>0.07692307692307693</v>
      </c>
      <c r="K206" s="5">
        <f>K205/47</f>
        <v>1</v>
      </c>
      <c r="L206" s="5">
        <f>L205/12</f>
        <v>1</v>
      </c>
    </row>
    <row r="207" spans="2:12" ht="4.5" customHeight="1"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9.75" customHeight="1">
      <c r="A208" s="4" t="s">
        <v>84</v>
      </c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ht="9.75" customHeight="1">
      <c r="B209" s="6" t="s">
        <v>78</v>
      </c>
      <c r="C209" s="2">
        <v>15227</v>
      </c>
      <c r="D209" s="2">
        <v>1310</v>
      </c>
      <c r="E209" s="2">
        <v>1506</v>
      </c>
      <c r="F209" s="2">
        <v>9662</v>
      </c>
      <c r="G209" s="2">
        <v>198</v>
      </c>
      <c r="H209" s="2">
        <v>57</v>
      </c>
      <c r="I209" s="2">
        <v>37</v>
      </c>
      <c r="J209" s="2">
        <v>16</v>
      </c>
      <c r="K209" s="2">
        <v>52</v>
      </c>
      <c r="L209" s="2">
        <v>26</v>
      </c>
    </row>
    <row r="210" spans="2:12" ht="9.75" customHeight="1">
      <c r="B210" s="6" t="s">
        <v>82</v>
      </c>
      <c r="C210" s="2">
        <v>822</v>
      </c>
      <c r="D210" s="2">
        <v>78</v>
      </c>
      <c r="E210" s="2">
        <v>72</v>
      </c>
      <c r="F210" s="2">
        <v>781</v>
      </c>
      <c r="G210" s="2">
        <v>6</v>
      </c>
      <c r="H210" s="2">
        <v>1</v>
      </c>
      <c r="I210" s="2">
        <v>0</v>
      </c>
      <c r="J210" s="2">
        <v>0</v>
      </c>
      <c r="K210" s="2">
        <v>4</v>
      </c>
      <c r="L210" s="2">
        <v>0</v>
      </c>
    </row>
    <row r="211" spans="1:12" ht="9.75" customHeight="1">
      <c r="A211" s="4" t="s">
        <v>144</v>
      </c>
      <c r="C211" s="3">
        <v>16049</v>
      </c>
      <c r="D211" s="3">
        <v>1388</v>
      </c>
      <c r="E211" s="3">
        <v>1578</v>
      </c>
      <c r="F211" s="3">
        <v>10443</v>
      </c>
      <c r="G211" s="3">
        <v>204</v>
      </c>
      <c r="H211" s="3">
        <v>58</v>
      </c>
      <c r="I211" s="3">
        <v>37</v>
      </c>
      <c r="J211" s="3">
        <v>16</v>
      </c>
      <c r="K211" s="3">
        <v>56</v>
      </c>
      <c r="L211" s="3">
        <v>26</v>
      </c>
    </row>
    <row r="212" spans="2:12" s="5" customFormat="1" ht="9.75" customHeight="1">
      <c r="B212" s="7" t="s">
        <v>145</v>
      </c>
      <c r="C212" s="5">
        <f>C211/19015</f>
        <v>0.8440178806205627</v>
      </c>
      <c r="D212" s="5">
        <f>D211/19015</f>
        <v>0.07299500394425454</v>
      </c>
      <c r="E212" s="5">
        <f>E211/19015</f>
        <v>0.08298711543518275</v>
      </c>
      <c r="F212" s="5">
        <f>F211/10443</f>
        <v>1</v>
      </c>
      <c r="G212" s="5">
        <f>G211/204</f>
        <v>1</v>
      </c>
      <c r="H212" s="5">
        <f>H211/111</f>
        <v>0.5225225225225225</v>
      </c>
      <c r="I212" s="5">
        <f>I211/111</f>
        <v>0.3333333333333333</v>
      </c>
      <c r="J212" s="5">
        <f>J211/111</f>
        <v>0.14414414414414414</v>
      </c>
      <c r="K212" s="5">
        <f>K211/56</f>
        <v>1</v>
      </c>
      <c r="L212" s="5">
        <f>L211/26</f>
        <v>1</v>
      </c>
    </row>
    <row r="213" spans="2:12" ht="4.5" customHeight="1"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9.75" customHeight="1">
      <c r="A214" s="4" t="s">
        <v>86</v>
      </c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ht="9.75" customHeight="1">
      <c r="B215" s="6" t="s">
        <v>80</v>
      </c>
      <c r="C215" s="2">
        <v>19521</v>
      </c>
      <c r="D215" s="2">
        <v>2090</v>
      </c>
      <c r="E215" s="2">
        <v>3305</v>
      </c>
      <c r="F215" s="2">
        <v>44945</v>
      </c>
      <c r="G215" s="2">
        <v>683</v>
      </c>
      <c r="H215" s="2">
        <v>52</v>
      </c>
      <c r="I215" s="2">
        <v>67</v>
      </c>
      <c r="J215" s="2">
        <v>26</v>
      </c>
      <c r="K215" s="2">
        <v>253</v>
      </c>
      <c r="L215" s="2">
        <v>32</v>
      </c>
    </row>
    <row r="216" spans="2:12" ht="9.75" customHeight="1">
      <c r="B216" s="6" t="s">
        <v>85</v>
      </c>
      <c r="C216" s="2">
        <v>65</v>
      </c>
      <c r="D216" s="2">
        <v>24</v>
      </c>
      <c r="E216" s="2">
        <v>13</v>
      </c>
      <c r="F216" s="2">
        <v>90</v>
      </c>
      <c r="G216" s="2">
        <v>6</v>
      </c>
      <c r="H216" s="2">
        <v>0</v>
      </c>
      <c r="I216" s="2">
        <v>0</v>
      </c>
      <c r="J216" s="2">
        <v>0</v>
      </c>
      <c r="K216" s="2">
        <v>2</v>
      </c>
      <c r="L216" s="2">
        <v>0</v>
      </c>
    </row>
    <row r="217" spans="1:12" ht="9.75" customHeight="1">
      <c r="A217" s="4" t="s">
        <v>144</v>
      </c>
      <c r="C217" s="3">
        <v>19586</v>
      </c>
      <c r="D217" s="3">
        <v>2114</v>
      </c>
      <c r="E217" s="3">
        <v>3318</v>
      </c>
      <c r="F217" s="3">
        <v>45035</v>
      </c>
      <c r="G217" s="3">
        <v>689</v>
      </c>
      <c r="H217" s="3">
        <v>52</v>
      </c>
      <c r="I217" s="3">
        <v>67</v>
      </c>
      <c r="J217" s="3">
        <v>26</v>
      </c>
      <c r="K217" s="3">
        <v>255</v>
      </c>
      <c r="L217" s="3">
        <v>32</v>
      </c>
    </row>
    <row r="218" spans="2:12" s="5" customFormat="1" ht="9.75" customHeight="1">
      <c r="B218" s="7" t="s">
        <v>145</v>
      </c>
      <c r="C218" s="5">
        <f>C217/25018</f>
        <v>0.782876329043089</v>
      </c>
      <c r="D218" s="5">
        <f>D217/25018</f>
        <v>0.08449916060436485</v>
      </c>
      <c r="E218" s="5">
        <f>E217/25018</f>
        <v>0.13262451035254616</v>
      </c>
      <c r="F218" s="5">
        <f>F217/45035</f>
        <v>1</v>
      </c>
      <c r="G218" s="5">
        <f>G217/689</f>
        <v>1</v>
      </c>
      <c r="H218" s="5">
        <f>H217/145</f>
        <v>0.3586206896551724</v>
      </c>
      <c r="I218" s="5">
        <f>I217/145</f>
        <v>0.46206896551724136</v>
      </c>
      <c r="J218" s="5">
        <f>J217/145</f>
        <v>0.1793103448275862</v>
      </c>
      <c r="K218" s="5">
        <f>K217/255</f>
        <v>1</v>
      </c>
      <c r="L218" s="5">
        <f>L217/32</f>
        <v>1</v>
      </c>
    </row>
    <row r="219" spans="2:12" ht="4.5" customHeight="1"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9.75" customHeight="1">
      <c r="A220" s="4" t="s">
        <v>89</v>
      </c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ht="9.75" customHeight="1">
      <c r="B221" s="6" t="s">
        <v>87</v>
      </c>
      <c r="C221" s="2">
        <v>21913</v>
      </c>
      <c r="D221" s="2">
        <v>1110</v>
      </c>
      <c r="E221" s="2">
        <v>1806</v>
      </c>
      <c r="F221" s="2">
        <v>24120</v>
      </c>
      <c r="G221" s="2">
        <v>394</v>
      </c>
      <c r="H221" s="2">
        <v>147</v>
      </c>
      <c r="I221" s="2">
        <v>191</v>
      </c>
      <c r="J221" s="2">
        <v>137</v>
      </c>
      <c r="K221" s="2">
        <v>261</v>
      </c>
      <c r="L221" s="2">
        <v>30</v>
      </c>
    </row>
    <row r="222" spans="2:12" ht="9.75" customHeight="1">
      <c r="B222" s="6" t="s">
        <v>88</v>
      </c>
      <c r="C222" s="2">
        <v>9901</v>
      </c>
      <c r="D222" s="2">
        <v>1022</v>
      </c>
      <c r="E222" s="2">
        <v>1279</v>
      </c>
      <c r="F222" s="2">
        <v>13816</v>
      </c>
      <c r="G222" s="2">
        <v>259</v>
      </c>
      <c r="H222" s="2">
        <v>23</v>
      </c>
      <c r="I222" s="2">
        <v>30</v>
      </c>
      <c r="J222" s="2">
        <v>22</v>
      </c>
      <c r="K222" s="2">
        <v>81</v>
      </c>
      <c r="L222" s="2">
        <v>19</v>
      </c>
    </row>
    <row r="223" spans="1:12" ht="9.75" customHeight="1">
      <c r="A223" s="4" t="s">
        <v>144</v>
      </c>
      <c r="C223" s="3">
        <v>31814</v>
      </c>
      <c r="D223" s="3">
        <v>2132</v>
      </c>
      <c r="E223" s="3">
        <v>3085</v>
      </c>
      <c r="F223" s="3">
        <v>37936</v>
      </c>
      <c r="G223" s="3">
        <v>653</v>
      </c>
      <c r="H223" s="3">
        <v>170</v>
      </c>
      <c r="I223" s="3">
        <v>221</v>
      </c>
      <c r="J223" s="3">
        <v>159</v>
      </c>
      <c r="K223" s="3">
        <v>342</v>
      </c>
      <c r="L223" s="3">
        <v>49</v>
      </c>
    </row>
    <row r="224" spans="2:12" s="5" customFormat="1" ht="9.75" customHeight="1">
      <c r="B224" s="7" t="s">
        <v>145</v>
      </c>
      <c r="C224" s="5">
        <f>C223/37031</f>
        <v>0.8591180362399071</v>
      </c>
      <c r="D224" s="5">
        <f>D223/37031</f>
        <v>0.05757338446166725</v>
      </c>
      <c r="E224" s="5">
        <f>E223/37031</f>
        <v>0.08330857929842564</v>
      </c>
      <c r="F224" s="5">
        <f>F223/37936</f>
        <v>1</v>
      </c>
      <c r="G224" s="5">
        <f>G223/653</f>
        <v>1</v>
      </c>
      <c r="H224" s="5">
        <f>H223/550</f>
        <v>0.3090909090909091</v>
      </c>
      <c r="I224" s="5">
        <f>I223/550</f>
        <v>0.4018181818181818</v>
      </c>
      <c r="J224" s="5">
        <f>J223/550</f>
        <v>0.28909090909090907</v>
      </c>
      <c r="K224" s="5">
        <f>K223/342</f>
        <v>1</v>
      </c>
      <c r="L224" s="5">
        <f>L223/49</f>
        <v>1</v>
      </c>
    </row>
    <row r="225" spans="2:12" ht="4.5" customHeight="1"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9.75" customHeight="1">
      <c r="A226" s="4" t="s">
        <v>91</v>
      </c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ht="9.75" customHeight="1">
      <c r="B227" s="6" t="s">
        <v>90</v>
      </c>
      <c r="C227" s="2">
        <v>1348</v>
      </c>
      <c r="D227" s="2">
        <v>196</v>
      </c>
      <c r="E227" s="2">
        <v>209</v>
      </c>
      <c r="F227" s="2">
        <v>2098</v>
      </c>
      <c r="G227" s="2">
        <v>77</v>
      </c>
      <c r="H227" s="2">
        <v>6</v>
      </c>
      <c r="I227" s="2">
        <v>20</v>
      </c>
      <c r="J227" s="2">
        <v>10</v>
      </c>
      <c r="K227" s="2">
        <v>28</v>
      </c>
      <c r="L227" s="2">
        <v>7</v>
      </c>
    </row>
    <row r="228" spans="2:12" ht="9.75" customHeight="1">
      <c r="B228" s="6" t="s">
        <v>80</v>
      </c>
      <c r="C228" s="2">
        <v>1136</v>
      </c>
      <c r="D228" s="2">
        <v>201</v>
      </c>
      <c r="E228" s="2">
        <v>230</v>
      </c>
      <c r="F228" s="2">
        <v>2173</v>
      </c>
      <c r="G228" s="2">
        <v>74</v>
      </c>
      <c r="H228" s="2">
        <v>2</v>
      </c>
      <c r="I228" s="2">
        <v>3</v>
      </c>
      <c r="J228" s="2">
        <v>1</v>
      </c>
      <c r="K228" s="2">
        <v>21</v>
      </c>
      <c r="L228" s="2">
        <v>2</v>
      </c>
    </row>
    <row r="229" spans="2:12" ht="9.75" customHeight="1">
      <c r="B229" s="6" t="s">
        <v>85</v>
      </c>
      <c r="C229" s="2">
        <v>2246</v>
      </c>
      <c r="D229" s="2">
        <v>330</v>
      </c>
      <c r="E229" s="2">
        <v>404</v>
      </c>
      <c r="F229" s="2">
        <v>2397</v>
      </c>
      <c r="G229" s="2">
        <v>108</v>
      </c>
      <c r="H229" s="2">
        <v>4</v>
      </c>
      <c r="I229" s="2">
        <v>6</v>
      </c>
      <c r="J229" s="2">
        <v>1</v>
      </c>
      <c r="K229" s="2">
        <v>24</v>
      </c>
      <c r="L229" s="2">
        <v>6</v>
      </c>
    </row>
    <row r="230" spans="2:12" ht="9.75" customHeight="1">
      <c r="B230" s="6" t="s">
        <v>82</v>
      </c>
      <c r="C230" s="2">
        <v>10480</v>
      </c>
      <c r="D230" s="2">
        <v>1190</v>
      </c>
      <c r="E230" s="2">
        <v>1320</v>
      </c>
      <c r="F230" s="2">
        <v>17815</v>
      </c>
      <c r="G230" s="2">
        <v>294</v>
      </c>
      <c r="H230" s="2">
        <v>44</v>
      </c>
      <c r="I230" s="2">
        <v>49</v>
      </c>
      <c r="J230" s="2">
        <v>21</v>
      </c>
      <c r="K230" s="2">
        <v>72</v>
      </c>
      <c r="L230" s="2">
        <v>7</v>
      </c>
    </row>
    <row r="231" spans="1:12" ht="9.75" customHeight="1">
      <c r="A231" s="4" t="s">
        <v>144</v>
      </c>
      <c r="C231" s="3">
        <v>15210</v>
      </c>
      <c r="D231" s="3">
        <v>1917</v>
      </c>
      <c r="E231" s="3">
        <v>2163</v>
      </c>
      <c r="F231" s="3">
        <v>24483</v>
      </c>
      <c r="G231" s="3">
        <v>553</v>
      </c>
      <c r="H231" s="3">
        <v>56</v>
      </c>
      <c r="I231" s="3">
        <v>78</v>
      </c>
      <c r="J231" s="3">
        <v>33</v>
      </c>
      <c r="K231" s="3">
        <v>145</v>
      </c>
      <c r="L231" s="3">
        <v>22</v>
      </c>
    </row>
    <row r="232" spans="2:12" s="5" customFormat="1" ht="9.75" customHeight="1">
      <c r="B232" s="7" t="s">
        <v>145</v>
      </c>
      <c r="C232" s="5">
        <f>C231/19290</f>
        <v>0.7884914463452566</v>
      </c>
      <c r="D232" s="5">
        <f>D231/19290</f>
        <v>0.09937791601866251</v>
      </c>
      <c r="E232" s="5">
        <f>E231/19290</f>
        <v>0.11213063763608087</v>
      </c>
      <c r="F232" s="5">
        <f>F231/24483</f>
        <v>1</v>
      </c>
      <c r="G232" s="5">
        <f>G231/553</f>
        <v>1</v>
      </c>
      <c r="H232" s="5">
        <f>H231/167</f>
        <v>0.33532934131736525</v>
      </c>
      <c r="I232" s="5">
        <f>I231/167</f>
        <v>0.46706586826347307</v>
      </c>
      <c r="J232" s="5">
        <f>J231/167</f>
        <v>0.19760479041916168</v>
      </c>
      <c r="K232" s="5">
        <f>K231/145</f>
        <v>1</v>
      </c>
      <c r="L232" s="5">
        <f>L231/22</f>
        <v>1</v>
      </c>
    </row>
    <row r="233" spans="2:12" ht="4.5" customHeight="1"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9.75" customHeight="1">
      <c r="A234" s="4" t="s">
        <v>93</v>
      </c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ht="9.75" customHeight="1">
      <c r="B235" s="6" t="s">
        <v>88</v>
      </c>
      <c r="C235" s="2">
        <v>22908</v>
      </c>
      <c r="D235" s="2">
        <v>819</v>
      </c>
      <c r="E235" s="2">
        <v>1707</v>
      </c>
      <c r="F235" s="2">
        <v>15603</v>
      </c>
      <c r="G235" s="2">
        <v>192</v>
      </c>
      <c r="H235" s="2">
        <v>168</v>
      </c>
      <c r="I235" s="2">
        <v>193</v>
      </c>
      <c r="J235" s="2">
        <v>89</v>
      </c>
      <c r="K235" s="2">
        <v>191</v>
      </c>
      <c r="L235" s="2">
        <v>27</v>
      </c>
    </row>
    <row r="236" spans="2:12" ht="9.75" customHeight="1">
      <c r="B236" s="6" t="s">
        <v>92</v>
      </c>
      <c r="C236" s="2">
        <v>11960</v>
      </c>
      <c r="D236" s="2">
        <v>769</v>
      </c>
      <c r="E236" s="2">
        <v>1159</v>
      </c>
      <c r="F236" s="2">
        <v>7749</v>
      </c>
      <c r="G236" s="2">
        <v>160</v>
      </c>
      <c r="H236" s="2">
        <v>60</v>
      </c>
      <c r="I236" s="2">
        <v>68</v>
      </c>
      <c r="J236" s="2">
        <v>32</v>
      </c>
      <c r="K236" s="2">
        <v>93</v>
      </c>
      <c r="L236" s="2">
        <v>20</v>
      </c>
    </row>
    <row r="237" spans="1:12" ht="9.75" customHeight="1">
      <c r="A237" s="4" t="s">
        <v>144</v>
      </c>
      <c r="C237" s="3">
        <v>34868</v>
      </c>
      <c r="D237" s="3">
        <v>1588</v>
      </c>
      <c r="E237" s="3">
        <v>2866</v>
      </c>
      <c r="F237" s="3">
        <v>23352</v>
      </c>
      <c r="G237" s="3">
        <v>352</v>
      </c>
      <c r="H237" s="3">
        <v>228</v>
      </c>
      <c r="I237" s="3">
        <v>261</v>
      </c>
      <c r="J237" s="3">
        <v>121</v>
      </c>
      <c r="K237" s="3">
        <v>284</v>
      </c>
      <c r="L237" s="3">
        <v>47</v>
      </c>
    </row>
    <row r="238" spans="2:12" s="5" customFormat="1" ht="9.75" customHeight="1">
      <c r="B238" s="7" t="s">
        <v>145</v>
      </c>
      <c r="C238" s="5">
        <f>C237/39322</f>
        <v>0.8867300747673058</v>
      </c>
      <c r="D238" s="5">
        <f>D237/39322</f>
        <v>0.040384517572859976</v>
      </c>
      <c r="E238" s="5">
        <f>E237/39322</f>
        <v>0.07288540765983419</v>
      </c>
      <c r="F238" s="5">
        <f>F237/23352</f>
        <v>1</v>
      </c>
      <c r="G238" s="5">
        <f>G237/352</f>
        <v>1</v>
      </c>
      <c r="H238" s="5">
        <f>H237/610</f>
        <v>0.3737704918032787</v>
      </c>
      <c r="I238" s="5">
        <f>I237/610</f>
        <v>0.4278688524590164</v>
      </c>
      <c r="J238" s="5">
        <f>J237/610</f>
        <v>0.19836065573770492</v>
      </c>
      <c r="K238" s="5">
        <f>K237/284</f>
        <v>1</v>
      </c>
      <c r="L238" s="5">
        <f>L237/47</f>
        <v>1</v>
      </c>
    </row>
    <row r="239" spans="2:12" ht="4.5" customHeight="1"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9.75" customHeight="1">
      <c r="A240" s="4" t="s">
        <v>95</v>
      </c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ht="9.75" customHeight="1">
      <c r="B241" s="6" t="s">
        <v>94</v>
      </c>
      <c r="C241" s="2">
        <v>8847</v>
      </c>
      <c r="D241" s="2">
        <v>961</v>
      </c>
      <c r="E241" s="2">
        <v>1197</v>
      </c>
      <c r="F241" s="2">
        <v>14277</v>
      </c>
      <c r="G241" s="2">
        <v>285</v>
      </c>
      <c r="H241" s="2">
        <v>22</v>
      </c>
      <c r="I241" s="2">
        <v>21</v>
      </c>
      <c r="J241" s="2">
        <v>13</v>
      </c>
      <c r="K241" s="2">
        <v>93</v>
      </c>
      <c r="L241" s="2">
        <v>12</v>
      </c>
    </row>
    <row r="242" spans="2:12" ht="9.75" customHeight="1">
      <c r="B242" s="6" t="s">
        <v>85</v>
      </c>
      <c r="C242" s="2">
        <v>4717</v>
      </c>
      <c r="D242" s="2">
        <v>572</v>
      </c>
      <c r="E242" s="2">
        <v>659</v>
      </c>
      <c r="F242" s="2">
        <v>7220</v>
      </c>
      <c r="G242" s="2">
        <v>172</v>
      </c>
      <c r="H242" s="2">
        <v>8</v>
      </c>
      <c r="I242" s="2">
        <v>14</v>
      </c>
      <c r="J242" s="2">
        <v>4</v>
      </c>
      <c r="K242" s="2">
        <v>88</v>
      </c>
      <c r="L242" s="2">
        <v>8</v>
      </c>
    </row>
    <row r="243" spans="1:12" ht="9.75" customHeight="1">
      <c r="A243" s="4" t="s">
        <v>144</v>
      </c>
      <c r="C243" s="3">
        <v>13564</v>
      </c>
      <c r="D243" s="3">
        <v>1533</v>
      </c>
      <c r="E243" s="3">
        <v>1856</v>
      </c>
      <c r="F243" s="3">
        <v>21497</v>
      </c>
      <c r="G243" s="3">
        <v>457</v>
      </c>
      <c r="H243" s="3">
        <v>30</v>
      </c>
      <c r="I243" s="3">
        <v>35</v>
      </c>
      <c r="J243" s="3">
        <v>17</v>
      </c>
      <c r="K243" s="3">
        <v>181</v>
      </c>
      <c r="L243" s="3">
        <v>20</v>
      </c>
    </row>
    <row r="244" spans="2:12" s="5" customFormat="1" ht="9.75" customHeight="1">
      <c r="B244" s="7" t="s">
        <v>145</v>
      </c>
      <c r="C244" s="5">
        <f>C243/16953</f>
        <v>0.8000943785760632</v>
      </c>
      <c r="D244" s="5">
        <f>D243/16953</f>
        <v>0.09042647319058573</v>
      </c>
      <c r="E244" s="5">
        <f>E243/16953</f>
        <v>0.10947914823335103</v>
      </c>
      <c r="F244" s="5">
        <f>F243/21497</f>
        <v>1</v>
      </c>
      <c r="G244" s="5">
        <f>G243/457</f>
        <v>1</v>
      </c>
      <c r="H244" s="5">
        <f>H243/82</f>
        <v>0.36585365853658536</v>
      </c>
      <c r="I244" s="5">
        <f>I243/82</f>
        <v>0.4268292682926829</v>
      </c>
      <c r="J244" s="5">
        <f>J243/82</f>
        <v>0.2073170731707317</v>
      </c>
      <c r="K244" s="5">
        <f>K243/181</f>
        <v>1</v>
      </c>
      <c r="L244" s="5">
        <f>L243/20</f>
        <v>1</v>
      </c>
    </row>
    <row r="245" spans="2:12" ht="4.5" customHeight="1"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9.75" customHeight="1">
      <c r="A246" s="4" t="s">
        <v>96</v>
      </c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ht="9.75" customHeight="1">
      <c r="B247" s="6" t="s">
        <v>94</v>
      </c>
      <c r="C247" s="2">
        <v>3171</v>
      </c>
      <c r="D247" s="2">
        <v>259</v>
      </c>
      <c r="E247" s="2">
        <v>409</v>
      </c>
      <c r="F247" s="2">
        <v>3518</v>
      </c>
      <c r="G247" s="2">
        <v>58</v>
      </c>
      <c r="H247" s="2">
        <v>8</v>
      </c>
      <c r="I247" s="2">
        <v>6</v>
      </c>
      <c r="J247" s="2">
        <v>7</v>
      </c>
      <c r="K247" s="2">
        <v>36</v>
      </c>
      <c r="L247" s="2">
        <v>7</v>
      </c>
    </row>
    <row r="248" spans="2:12" ht="9.75" customHeight="1">
      <c r="B248" s="6" t="s">
        <v>92</v>
      </c>
      <c r="C248" s="2">
        <v>22235</v>
      </c>
      <c r="D248" s="2">
        <v>1673</v>
      </c>
      <c r="E248" s="2">
        <v>2041</v>
      </c>
      <c r="F248" s="2">
        <v>26964</v>
      </c>
      <c r="G248" s="2">
        <v>332</v>
      </c>
      <c r="H248" s="2">
        <v>105</v>
      </c>
      <c r="I248" s="2">
        <v>106</v>
      </c>
      <c r="J248" s="2">
        <v>39</v>
      </c>
      <c r="K248" s="2">
        <v>239</v>
      </c>
      <c r="L248" s="2">
        <v>33</v>
      </c>
    </row>
    <row r="249" spans="1:12" ht="9.75" customHeight="1">
      <c r="A249" s="4" t="s">
        <v>144</v>
      </c>
      <c r="C249" s="3">
        <v>25406</v>
      </c>
      <c r="D249" s="3">
        <v>1932</v>
      </c>
      <c r="E249" s="3">
        <v>2450</v>
      </c>
      <c r="F249" s="3">
        <v>30482</v>
      </c>
      <c r="G249" s="3">
        <v>390</v>
      </c>
      <c r="H249" s="3">
        <v>113</v>
      </c>
      <c r="I249" s="3">
        <v>112</v>
      </c>
      <c r="J249" s="3">
        <v>46</v>
      </c>
      <c r="K249" s="3">
        <v>275</v>
      </c>
      <c r="L249" s="3">
        <v>40</v>
      </c>
    </row>
    <row r="250" spans="2:12" s="5" customFormat="1" ht="9.75" customHeight="1">
      <c r="B250" s="7" t="s">
        <v>145</v>
      </c>
      <c r="C250" s="5">
        <f>C249/29788</f>
        <v>0.8528937827313012</v>
      </c>
      <c r="D250" s="5">
        <f>D249/29788</f>
        <v>0.06485833221431449</v>
      </c>
      <c r="E250" s="5">
        <f>E249/29788</f>
        <v>0.08224788505438431</v>
      </c>
      <c r="F250" s="5">
        <f>F249/30482</f>
        <v>1</v>
      </c>
      <c r="G250" s="5">
        <f>G249/390</f>
        <v>1</v>
      </c>
      <c r="H250" s="5">
        <f>H249/271</f>
        <v>0.41697416974169743</v>
      </c>
      <c r="I250" s="5">
        <f>I249/271</f>
        <v>0.4132841328413284</v>
      </c>
      <c r="J250" s="5">
        <f>J249/271</f>
        <v>0.16974169741697417</v>
      </c>
      <c r="K250" s="5">
        <f>K249/275</f>
        <v>1</v>
      </c>
      <c r="L250" s="5">
        <f>L249/40</f>
        <v>1</v>
      </c>
    </row>
    <row r="251" spans="2:12" ht="4.5" customHeight="1"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9.75" customHeight="1">
      <c r="A252" s="4" t="s">
        <v>97</v>
      </c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ht="9.75" customHeight="1">
      <c r="B253" s="6" t="s">
        <v>94</v>
      </c>
      <c r="C253" s="2">
        <v>16737</v>
      </c>
      <c r="D253" s="2">
        <v>1323</v>
      </c>
      <c r="E253" s="2">
        <v>2110</v>
      </c>
      <c r="F253" s="2">
        <v>19717</v>
      </c>
      <c r="G253" s="2">
        <v>280</v>
      </c>
      <c r="H253" s="2">
        <v>44</v>
      </c>
      <c r="I253" s="2">
        <v>58</v>
      </c>
      <c r="J253" s="2">
        <v>29</v>
      </c>
      <c r="K253" s="2">
        <v>206</v>
      </c>
      <c r="L253" s="2">
        <v>14</v>
      </c>
    </row>
    <row r="254" spans="2:12" ht="9.75" customHeight="1">
      <c r="B254" s="6" t="s">
        <v>92</v>
      </c>
      <c r="C254" s="2">
        <v>3208</v>
      </c>
      <c r="D254" s="2">
        <v>271</v>
      </c>
      <c r="E254" s="2">
        <v>497</v>
      </c>
      <c r="F254" s="2">
        <v>5063</v>
      </c>
      <c r="G254" s="2">
        <v>87</v>
      </c>
      <c r="H254" s="2">
        <v>10</v>
      </c>
      <c r="I254" s="2">
        <v>14</v>
      </c>
      <c r="J254" s="2">
        <v>6</v>
      </c>
      <c r="K254" s="2">
        <v>50</v>
      </c>
      <c r="L254" s="2">
        <v>4</v>
      </c>
    </row>
    <row r="255" spans="1:12" ht="9.75" customHeight="1">
      <c r="A255" s="4" t="s">
        <v>144</v>
      </c>
      <c r="C255" s="3">
        <v>19945</v>
      </c>
      <c r="D255" s="3">
        <v>1594</v>
      </c>
      <c r="E255" s="3">
        <v>2607</v>
      </c>
      <c r="F255" s="3">
        <v>24780</v>
      </c>
      <c r="G255" s="3">
        <v>367</v>
      </c>
      <c r="H255" s="3">
        <v>54</v>
      </c>
      <c r="I255" s="3">
        <v>72</v>
      </c>
      <c r="J255" s="3">
        <v>35</v>
      </c>
      <c r="K255" s="3">
        <v>256</v>
      </c>
      <c r="L255" s="3">
        <v>18</v>
      </c>
    </row>
    <row r="256" spans="2:12" s="5" customFormat="1" ht="9.75" customHeight="1">
      <c r="B256" s="7" t="s">
        <v>145</v>
      </c>
      <c r="C256" s="5">
        <f>C255/24146</f>
        <v>0.8260167315497391</v>
      </c>
      <c r="D256" s="5">
        <f>D255/24146</f>
        <v>0.066015074960656</v>
      </c>
      <c r="E256" s="5">
        <f>E255/24146</f>
        <v>0.1079681934896049</v>
      </c>
      <c r="F256" s="5">
        <f>F255/24780</f>
        <v>1</v>
      </c>
      <c r="G256" s="5">
        <f>G255/367</f>
        <v>1</v>
      </c>
      <c r="H256" s="5">
        <f>H255/161</f>
        <v>0.33540372670807456</v>
      </c>
      <c r="I256" s="5">
        <f>I255/161</f>
        <v>0.4472049689440994</v>
      </c>
      <c r="J256" s="5">
        <f>J255/161</f>
        <v>0.21739130434782608</v>
      </c>
      <c r="K256" s="5">
        <f>K255/256</f>
        <v>1</v>
      </c>
      <c r="L256" s="5">
        <f>L255/18</f>
        <v>1</v>
      </c>
    </row>
    <row r="257" spans="2:12" ht="4.5" customHeight="1"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9.75" customHeight="1">
      <c r="A258" s="4" t="s">
        <v>98</v>
      </c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ht="9.75" customHeight="1">
      <c r="B259" s="6" t="s">
        <v>94</v>
      </c>
      <c r="C259" s="2">
        <v>18166</v>
      </c>
      <c r="D259" s="2">
        <v>1321</v>
      </c>
      <c r="E259" s="2">
        <v>1405</v>
      </c>
      <c r="F259" s="2">
        <v>4082</v>
      </c>
      <c r="G259" s="2">
        <v>212</v>
      </c>
      <c r="H259" s="2">
        <v>27</v>
      </c>
      <c r="I259" s="2">
        <v>22</v>
      </c>
      <c r="J259" s="2">
        <v>19</v>
      </c>
      <c r="K259" s="2">
        <v>69</v>
      </c>
      <c r="L259" s="2">
        <v>41</v>
      </c>
    </row>
    <row r="260" spans="1:12" ht="9.75" customHeight="1">
      <c r="A260" s="4" t="s">
        <v>144</v>
      </c>
      <c r="C260" s="3">
        <v>18166</v>
      </c>
      <c r="D260" s="3">
        <v>1321</v>
      </c>
      <c r="E260" s="3">
        <v>1405</v>
      </c>
      <c r="F260" s="3">
        <v>4082</v>
      </c>
      <c r="G260" s="3">
        <v>212</v>
      </c>
      <c r="H260" s="3">
        <v>27</v>
      </c>
      <c r="I260" s="3">
        <v>22</v>
      </c>
      <c r="J260" s="3">
        <v>19</v>
      </c>
      <c r="K260" s="3">
        <v>69</v>
      </c>
      <c r="L260" s="3">
        <v>41</v>
      </c>
    </row>
    <row r="261" spans="2:12" s="5" customFormat="1" ht="9.75" customHeight="1">
      <c r="B261" s="7" t="s">
        <v>145</v>
      </c>
      <c r="C261" s="5">
        <f>C260/20892</f>
        <v>0.8695194332758951</v>
      </c>
      <c r="D261" s="5">
        <f>D260/20892</f>
        <v>0.06322994447635459</v>
      </c>
      <c r="E261" s="5">
        <f>E260/20892</f>
        <v>0.06725062224775033</v>
      </c>
      <c r="F261" s="5">
        <f>F260/4082</f>
        <v>1</v>
      </c>
      <c r="G261" s="5">
        <f>G260/212</f>
        <v>1</v>
      </c>
      <c r="H261" s="5">
        <f>H260/68</f>
        <v>0.39705882352941174</v>
      </c>
      <c r="I261" s="5">
        <f>I260/68</f>
        <v>0.3235294117647059</v>
      </c>
      <c r="J261" s="5">
        <f>J260/68</f>
        <v>0.27941176470588236</v>
      </c>
      <c r="K261" s="5">
        <f>K260/69</f>
        <v>1</v>
      </c>
      <c r="L261" s="5">
        <f>L260/41</f>
        <v>1</v>
      </c>
    </row>
    <row r="262" spans="2:12" ht="4.5" customHeight="1"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9.75" customHeight="1">
      <c r="A263" s="4" t="s">
        <v>99</v>
      </c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ht="9.75" customHeight="1">
      <c r="B264" s="6" t="s">
        <v>94</v>
      </c>
      <c r="C264" s="2">
        <v>20937</v>
      </c>
      <c r="D264" s="2">
        <v>1508</v>
      </c>
      <c r="E264" s="2">
        <v>2011</v>
      </c>
      <c r="F264" s="2">
        <v>11033</v>
      </c>
      <c r="G264" s="2">
        <v>232</v>
      </c>
      <c r="H264" s="2">
        <v>66</v>
      </c>
      <c r="I264" s="2">
        <v>57</v>
      </c>
      <c r="J264" s="2">
        <v>21</v>
      </c>
      <c r="K264" s="2">
        <v>163</v>
      </c>
      <c r="L264" s="2">
        <v>39</v>
      </c>
    </row>
    <row r="265" spans="1:12" ht="9.75" customHeight="1">
      <c r="A265" s="4" t="s">
        <v>144</v>
      </c>
      <c r="C265" s="3">
        <v>20937</v>
      </c>
      <c r="D265" s="3">
        <v>1508</v>
      </c>
      <c r="E265" s="3">
        <v>2011</v>
      </c>
      <c r="F265" s="3">
        <v>11033</v>
      </c>
      <c r="G265" s="3">
        <v>232</v>
      </c>
      <c r="H265" s="3">
        <v>66</v>
      </c>
      <c r="I265" s="3">
        <v>57</v>
      </c>
      <c r="J265" s="3">
        <v>21</v>
      </c>
      <c r="K265" s="3">
        <v>163</v>
      </c>
      <c r="L265" s="3">
        <v>39</v>
      </c>
    </row>
    <row r="266" spans="2:12" s="5" customFormat="1" ht="9.75" customHeight="1">
      <c r="B266" s="7" t="s">
        <v>145</v>
      </c>
      <c r="C266" s="5">
        <f>C265/24456</f>
        <v>0.8561089303238469</v>
      </c>
      <c r="D266" s="5">
        <f>D265/24456</f>
        <v>0.06166175989532221</v>
      </c>
      <c r="E266" s="5">
        <f>E265/24456</f>
        <v>0.08222930978083089</v>
      </c>
      <c r="F266" s="5">
        <f>F265/11033</f>
        <v>1</v>
      </c>
      <c r="G266" s="5">
        <f>G265/232</f>
        <v>1</v>
      </c>
      <c r="H266" s="5">
        <f>H265/144</f>
        <v>0.4583333333333333</v>
      </c>
      <c r="I266" s="5">
        <f>I265/144</f>
        <v>0.3958333333333333</v>
      </c>
      <c r="J266" s="5">
        <f>J265/144</f>
        <v>0.14583333333333334</v>
      </c>
      <c r="K266" s="5">
        <f>K265/163</f>
        <v>1</v>
      </c>
      <c r="L266" s="5">
        <f>L265/39</f>
        <v>1</v>
      </c>
    </row>
    <row r="267" spans="2:12" ht="4.5" customHeight="1"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9.75" customHeight="1">
      <c r="A268" s="4" t="s">
        <v>100</v>
      </c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ht="9.75" customHeight="1">
      <c r="B269" s="6" t="s">
        <v>94</v>
      </c>
      <c r="C269" s="2">
        <v>29282</v>
      </c>
      <c r="D269" s="2">
        <v>821</v>
      </c>
      <c r="E269" s="2">
        <v>2578</v>
      </c>
      <c r="F269" s="2">
        <v>12132</v>
      </c>
      <c r="G269" s="2">
        <v>192</v>
      </c>
      <c r="H269" s="2">
        <v>93</v>
      </c>
      <c r="I269" s="2">
        <v>124</v>
      </c>
      <c r="J269" s="2">
        <v>39</v>
      </c>
      <c r="K269" s="2">
        <v>166</v>
      </c>
      <c r="L269" s="2">
        <v>45</v>
      </c>
    </row>
    <row r="270" spans="2:12" ht="9.75" customHeight="1">
      <c r="B270" s="6" t="s">
        <v>92</v>
      </c>
      <c r="C270" s="2">
        <v>6713</v>
      </c>
      <c r="D270" s="2">
        <v>368</v>
      </c>
      <c r="E270" s="2">
        <v>696</v>
      </c>
      <c r="F270" s="2">
        <v>4550</v>
      </c>
      <c r="G270" s="2">
        <v>91</v>
      </c>
      <c r="H270" s="2">
        <v>21</v>
      </c>
      <c r="I270" s="2">
        <v>19</v>
      </c>
      <c r="J270" s="2">
        <v>14</v>
      </c>
      <c r="K270" s="2">
        <v>42</v>
      </c>
      <c r="L270" s="2">
        <v>18</v>
      </c>
    </row>
    <row r="271" spans="1:12" ht="9.75" customHeight="1">
      <c r="A271" s="4" t="s">
        <v>144</v>
      </c>
      <c r="C271" s="3">
        <v>35995</v>
      </c>
      <c r="D271" s="3">
        <v>1189</v>
      </c>
      <c r="E271" s="3">
        <v>3274</v>
      </c>
      <c r="F271" s="3">
        <v>16682</v>
      </c>
      <c r="G271" s="3">
        <v>283</v>
      </c>
      <c r="H271" s="3">
        <v>114</v>
      </c>
      <c r="I271" s="3">
        <v>143</v>
      </c>
      <c r="J271" s="3">
        <v>53</v>
      </c>
      <c r="K271" s="3">
        <v>208</v>
      </c>
      <c r="L271" s="3">
        <v>63</v>
      </c>
    </row>
    <row r="272" spans="2:12" s="5" customFormat="1" ht="9.75" customHeight="1">
      <c r="B272" s="7" t="s">
        <v>145</v>
      </c>
      <c r="C272" s="5">
        <f>C271/40458</f>
        <v>0.8896880715804044</v>
      </c>
      <c r="D272" s="5">
        <f>D271/40458</f>
        <v>0.02938850165603836</v>
      </c>
      <c r="E272" s="5">
        <f>E271/40458</f>
        <v>0.08092342676355727</v>
      </c>
      <c r="F272" s="5">
        <f>F271/16682</f>
        <v>1</v>
      </c>
      <c r="G272" s="5">
        <f>G271/283</f>
        <v>1</v>
      </c>
      <c r="H272" s="5">
        <f>H271/310</f>
        <v>0.36774193548387096</v>
      </c>
      <c r="I272" s="5">
        <f>I271/310</f>
        <v>0.4612903225806452</v>
      </c>
      <c r="J272" s="5">
        <f>J271/310</f>
        <v>0.17096774193548386</v>
      </c>
      <c r="K272" s="5">
        <f>K271/208</f>
        <v>1</v>
      </c>
      <c r="L272" s="5">
        <f>L271/63</f>
        <v>1</v>
      </c>
    </row>
    <row r="273" spans="2:12" ht="4.5" customHeight="1"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9.75" customHeight="1">
      <c r="A274" s="4" t="s">
        <v>101</v>
      </c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ht="9.75" customHeight="1">
      <c r="B275" s="6" t="s">
        <v>94</v>
      </c>
      <c r="C275" s="2">
        <v>39166</v>
      </c>
      <c r="D275" s="2">
        <v>1111</v>
      </c>
      <c r="E275" s="2">
        <v>2758</v>
      </c>
      <c r="F275" s="2">
        <v>10035</v>
      </c>
      <c r="G275" s="2">
        <v>224</v>
      </c>
      <c r="H275" s="2">
        <v>121</v>
      </c>
      <c r="I275" s="2">
        <v>71</v>
      </c>
      <c r="J275" s="2">
        <v>58</v>
      </c>
      <c r="K275" s="2">
        <v>179</v>
      </c>
      <c r="L275" s="2">
        <v>39</v>
      </c>
    </row>
    <row r="276" spans="1:12" ht="9.75" customHeight="1">
      <c r="A276" s="4" t="s">
        <v>144</v>
      </c>
      <c r="C276" s="3">
        <v>39166</v>
      </c>
      <c r="D276" s="3">
        <v>1111</v>
      </c>
      <c r="E276" s="3">
        <v>2758</v>
      </c>
      <c r="F276" s="3">
        <v>10035</v>
      </c>
      <c r="G276" s="3">
        <v>224</v>
      </c>
      <c r="H276" s="3">
        <v>121</v>
      </c>
      <c r="I276" s="3">
        <v>71</v>
      </c>
      <c r="J276" s="3">
        <v>58</v>
      </c>
      <c r="K276" s="3">
        <v>179</v>
      </c>
      <c r="L276" s="3">
        <v>39</v>
      </c>
    </row>
    <row r="277" spans="2:12" s="5" customFormat="1" ht="9.75" customHeight="1">
      <c r="B277" s="7" t="s">
        <v>145</v>
      </c>
      <c r="C277" s="5">
        <f>C276/43035</f>
        <v>0.9100964331358197</v>
      </c>
      <c r="D277" s="5">
        <f>D276/43035</f>
        <v>0.025816196119437668</v>
      </c>
      <c r="E277" s="5">
        <f>E276/43035</f>
        <v>0.06408737074474265</v>
      </c>
      <c r="F277" s="5">
        <f>F276/10035</f>
        <v>1</v>
      </c>
      <c r="G277" s="5">
        <f>G276/224</f>
        <v>1</v>
      </c>
      <c r="H277" s="5">
        <f>H276/250</f>
        <v>0.484</v>
      </c>
      <c r="I277" s="5">
        <f>I276/250</f>
        <v>0.284</v>
      </c>
      <c r="J277" s="5">
        <f>J276/250</f>
        <v>0.232</v>
      </c>
      <c r="K277" s="5">
        <f>K276/179</f>
        <v>1</v>
      </c>
      <c r="L277" s="5">
        <f>L276/39</f>
        <v>1</v>
      </c>
    </row>
    <row r="278" spans="2:12" ht="4.5" customHeight="1"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9.75" customHeight="1">
      <c r="A279" s="4" t="s">
        <v>102</v>
      </c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ht="9.75" customHeight="1">
      <c r="B280" s="6" t="s">
        <v>94</v>
      </c>
      <c r="C280" s="2">
        <v>22823</v>
      </c>
      <c r="D280" s="2">
        <v>1406</v>
      </c>
      <c r="E280" s="2">
        <v>2334</v>
      </c>
      <c r="F280" s="2">
        <v>11521</v>
      </c>
      <c r="G280" s="2">
        <v>216</v>
      </c>
      <c r="H280" s="2">
        <v>116</v>
      </c>
      <c r="I280" s="2">
        <v>66</v>
      </c>
      <c r="J280" s="2">
        <v>37</v>
      </c>
      <c r="K280" s="2">
        <v>149</v>
      </c>
      <c r="L280" s="2">
        <v>39</v>
      </c>
    </row>
    <row r="281" spans="1:12" ht="9.75" customHeight="1">
      <c r="A281" s="4" t="s">
        <v>144</v>
      </c>
      <c r="C281" s="3">
        <v>22823</v>
      </c>
      <c r="D281" s="3">
        <v>1406</v>
      </c>
      <c r="E281" s="3">
        <v>2334</v>
      </c>
      <c r="F281" s="3">
        <v>11521</v>
      </c>
      <c r="G281" s="3">
        <v>216</v>
      </c>
      <c r="H281" s="3">
        <v>116</v>
      </c>
      <c r="I281" s="3">
        <v>66</v>
      </c>
      <c r="J281" s="3">
        <v>37</v>
      </c>
      <c r="K281" s="3">
        <v>149</v>
      </c>
      <c r="L281" s="3">
        <v>39</v>
      </c>
    </row>
    <row r="282" spans="2:12" s="5" customFormat="1" ht="9.75" customHeight="1">
      <c r="B282" s="7" t="s">
        <v>145</v>
      </c>
      <c r="C282" s="5">
        <f>C281/26563</f>
        <v>0.8592026503030531</v>
      </c>
      <c r="D282" s="5">
        <f>D281/26563</f>
        <v>0.0529307683620073</v>
      </c>
      <c r="E282" s="5">
        <f>E281/26563</f>
        <v>0.08786658133493958</v>
      </c>
      <c r="F282" s="5">
        <f>F281/11521</f>
        <v>1</v>
      </c>
      <c r="G282" s="5">
        <f>G281/216</f>
        <v>1</v>
      </c>
      <c r="H282" s="5">
        <f>H281/219</f>
        <v>0.5296803652968036</v>
      </c>
      <c r="I282" s="5">
        <f>I281/219</f>
        <v>0.3013698630136986</v>
      </c>
      <c r="J282" s="5">
        <f>J281/219</f>
        <v>0.1689497716894977</v>
      </c>
      <c r="K282" s="5">
        <f>K281/149</f>
        <v>1</v>
      </c>
      <c r="L282" s="5">
        <f>L281/39</f>
        <v>1</v>
      </c>
    </row>
    <row r="283" spans="2:12" ht="4.5" customHeight="1"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9.75" customHeight="1">
      <c r="A284" s="4" t="s">
        <v>103</v>
      </c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ht="9.75" customHeight="1">
      <c r="B285" s="6" t="s">
        <v>94</v>
      </c>
      <c r="C285" s="2">
        <v>28102</v>
      </c>
      <c r="D285" s="2">
        <v>1428</v>
      </c>
      <c r="E285" s="2">
        <v>2834</v>
      </c>
      <c r="F285" s="2">
        <v>17862</v>
      </c>
      <c r="G285" s="2">
        <v>280</v>
      </c>
      <c r="H285" s="2">
        <v>156</v>
      </c>
      <c r="I285" s="2">
        <v>134</v>
      </c>
      <c r="J285" s="2">
        <v>53</v>
      </c>
      <c r="K285" s="2">
        <v>188</v>
      </c>
      <c r="L285" s="2">
        <v>56</v>
      </c>
    </row>
    <row r="286" spans="1:12" ht="9.75" customHeight="1">
      <c r="A286" s="4" t="s">
        <v>144</v>
      </c>
      <c r="C286" s="3">
        <v>28102</v>
      </c>
      <c r="D286" s="3">
        <v>1428</v>
      </c>
      <c r="E286" s="3">
        <v>2834</v>
      </c>
      <c r="F286" s="3">
        <v>17862</v>
      </c>
      <c r="G286" s="3">
        <v>280</v>
      </c>
      <c r="H286" s="3">
        <v>156</v>
      </c>
      <c r="I286" s="3">
        <v>134</v>
      </c>
      <c r="J286" s="3">
        <v>53</v>
      </c>
      <c r="K286" s="3">
        <v>188</v>
      </c>
      <c r="L286" s="3">
        <v>56</v>
      </c>
    </row>
    <row r="287" spans="2:12" s="5" customFormat="1" ht="9.75" customHeight="1">
      <c r="B287" s="7" t="s">
        <v>145</v>
      </c>
      <c r="C287" s="5">
        <f>C286/32364</f>
        <v>0.8683104684217031</v>
      </c>
      <c r="D287" s="5">
        <f>D286/32364</f>
        <v>0.04412309974045235</v>
      </c>
      <c r="E287" s="5">
        <f>E286/32364</f>
        <v>0.08756643183784452</v>
      </c>
      <c r="F287" s="5">
        <f>F286/17862</f>
        <v>1</v>
      </c>
      <c r="G287" s="5">
        <f>G286/280</f>
        <v>1</v>
      </c>
      <c r="H287" s="5">
        <f>H286/343</f>
        <v>0.45481049562682213</v>
      </c>
      <c r="I287" s="5">
        <f>I286/343</f>
        <v>0.39067055393586003</v>
      </c>
      <c r="J287" s="5">
        <f>J286/343</f>
        <v>0.15451895043731778</v>
      </c>
      <c r="K287" s="5">
        <f>K286/188</f>
        <v>1</v>
      </c>
      <c r="L287" s="5">
        <f>L286/56</f>
        <v>1</v>
      </c>
    </row>
    <row r="288" spans="2:12" ht="4.5" customHeight="1"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9.75" customHeight="1">
      <c r="A289" s="4" t="s">
        <v>104</v>
      </c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ht="9.75" customHeight="1">
      <c r="B290" s="6" t="s">
        <v>94</v>
      </c>
      <c r="C290" s="2">
        <v>21272</v>
      </c>
      <c r="D290" s="2">
        <v>1284</v>
      </c>
      <c r="E290" s="2">
        <v>1814</v>
      </c>
      <c r="F290" s="2">
        <v>2907</v>
      </c>
      <c r="G290" s="2">
        <v>205</v>
      </c>
      <c r="H290" s="2">
        <v>109</v>
      </c>
      <c r="I290" s="2">
        <v>67</v>
      </c>
      <c r="J290" s="2">
        <v>52</v>
      </c>
      <c r="K290" s="2">
        <v>84</v>
      </c>
      <c r="L290" s="2">
        <v>61</v>
      </c>
    </row>
    <row r="291" spans="1:12" ht="9.75" customHeight="1">
      <c r="A291" s="4" t="s">
        <v>144</v>
      </c>
      <c r="C291" s="3">
        <v>21272</v>
      </c>
      <c r="D291" s="3">
        <v>1284</v>
      </c>
      <c r="E291" s="3">
        <v>1814</v>
      </c>
      <c r="F291" s="3">
        <v>2907</v>
      </c>
      <c r="G291" s="3">
        <v>205</v>
      </c>
      <c r="H291" s="3">
        <v>109</v>
      </c>
      <c r="I291" s="3">
        <v>67</v>
      </c>
      <c r="J291" s="3">
        <v>52</v>
      </c>
      <c r="K291" s="3">
        <v>84</v>
      </c>
      <c r="L291" s="3">
        <v>61</v>
      </c>
    </row>
    <row r="292" spans="2:12" s="5" customFormat="1" ht="9.75" customHeight="1">
      <c r="B292" s="7" t="s">
        <v>145</v>
      </c>
      <c r="C292" s="5">
        <f>C291/24370</f>
        <v>0.8728764874846122</v>
      </c>
      <c r="D292" s="5">
        <f>D291/24370</f>
        <v>0.05268773081657776</v>
      </c>
      <c r="E292" s="5">
        <f>E291/24370</f>
        <v>0.07443578169881002</v>
      </c>
      <c r="F292" s="5">
        <f>F291/2907</f>
        <v>1</v>
      </c>
      <c r="G292" s="5">
        <f>G291/205</f>
        <v>1</v>
      </c>
      <c r="H292" s="5">
        <f>H291/228</f>
        <v>0.4780701754385965</v>
      </c>
      <c r="I292" s="5">
        <f>I291/228</f>
        <v>0.29385964912280704</v>
      </c>
      <c r="J292" s="5">
        <f>J291/228</f>
        <v>0.22807017543859648</v>
      </c>
      <c r="K292" s="5">
        <f>K291/84</f>
        <v>1</v>
      </c>
      <c r="L292" s="5">
        <f>L291/61</f>
        <v>1</v>
      </c>
    </row>
    <row r="293" spans="2:12" ht="4.5" customHeight="1"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9.75" customHeight="1">
      <c r="A294" s="4" t="s">
        <v>105</v>
      </c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ht="9.75" customHeight="1">
      <c r="B295" s="6" t="s">
        <v>94</v>
      </c>
      <c r="C295" s="2">
        <v>12299</v>
      </c>
      <c r="D295" s="2">
        <v>1012</v>
      </c>
      <c r="E295" s="2">
        <v>1023</v>
      </c>
      <c r="F295" s="2">
        <v>1367</v>
      </c>
      <c r="G295" s="2">
        <v>94</v>
      </c>
      <c r="H295" s="2">
        <v>25</v>
      </c>
      <c r="I295" s="2">
        <v>26</v>
      </c>
      <c r="J295" s="2">
        <v>7</v>
      </c>
      <c r="K295" s="2">
        <v>30</v>
      </c>
      <c r="L295" s="2">
        <v>47</v>
      </c>
    </row>
    <row r="296" spans="1:12" ht="9.75" customHeight="1">
      <c r="A296" s="4" t="s">
        <v>144</v>
      </c>
      <c r="C296" s="3">
        <v>12299</v>
      </c>
      <c r="D296" s="3">
        <v>1012</v>
      </c>
      <c r="E296" s="3">
        <v>1023</v>
      </c>
      <c r="F296" s="3">
        <v>1367</v>
      </c>
      <c r="G296" s="3">
        <v>94</v>
      </c>
      <c r="H296" s="3">
        <v>25</v>
      </c>
      <c r="I296" s="3">
        <v>26</v>
      </c>
      <c r="J296" s="3">
        <v>7</v>
      </c>
      <c r="K296" s="3">
        <v>30</v>
      </c>
      <c r="L296" s="3">
        <v>47</v>
      </c>
    </row>
    <row r="297" spans="2:12" s="5" customFormat="1" ht="9.75" customHeight="1">
      <c r="B297" s="7" t="s">
        <v>145</v>
      </c>
      <c r="C297" s="5">
        <f>C296/14334</f>
        <v>0.858029859076322</v>
      </c>
      <c r="D297" s="5">
        <f>D296/14334</f>
        <v>0.07060136737826148</v>
      </c>
      <c r="E297" s="5">
        <f>E296/14334</f>
        <v>0.07136877354541649</v>
      </c>
      <c r="F297" s="5">
        <f>F296/1367</f>
        <v>1</v>
      </c>
      <c r="G297" s="5">
        <f>G296/94</f>
        <v>1</v>
      </c>
      <c r="H297" s="5">
        <f>H296/58</f>
        <v>0.43103448275862066</v>
      </c>
      <c r="I297" s="5">
        <f>I296/58</f>
        <v>0.4482758620689655</v>
      </c>
      <c r="J297" s="5">
        <f>J296/58</f>
        <v>0.1206896551724138</v>
      </c>
      <c r="K297" s="5">
        <f>K296/30</f>
        <v>1</v>
      </c>
      <c r="L297" s="5">
        <f>L296/47</f>
        <v>1</v>
      </c>
    </row>
    <row r="298" spans="2:12" ht="4.5" customHeight="1"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9.75" customHeight="1">
      <c r="A299" s="4" t="s">
        <v>106</v>
      </c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ht="9.75" customHeight="1">
      <c r="B300" s="6" t="s">
        <v>94</v>
      </c>
      <c r="C300" s="2">
        <v>36986</v>
      </c>
      <c r="D300" s="2">
        <v>1572</v>
      </c>
      <c r="E300" s="2">
        <v>2538</v>
      </c>
      <c r="F300" s="2">
        <v>4517</v>
      </c>
      <c r="G300" s="2">
        <v>205</v>
      </c>
      <c r="H300" s="2">
        <v>71</v>
      </c>
      <c r="I300" s="2">
        <v>103</v>
      </c>
      <c r="J300" s="2">
        <v>40</v>
      </c>
      <c r="K300" s="2">
        <v>99</v>
      </c>
      <c r="L300" s="2">
        <v>33</v>
      </c>
    </row>
    <row r="301" spans="1:12" ht="9.75" customHeight="1">
      <c r="A301" s="4" t="s">
        <v>144</v>
      </c>
      <c r="C301" s="3">
        <v>36986</v>
      </c>
      <c r="D301" s="3">
        <v>1572</v>
      </c>
      <c r="E301" s="3">
        <v>2538</v>
      </c>
      <c r="F301" s="3">
        <v>4517</v>
      </c>
      <c r="G301" s="3">
        <v>205</v>
      </c>
      <c r="H301" s="3">
        <v>71</v>
      </c>
      <c r="I301" s="3">
        <v>103</v>
      </c>
      <c r="J301" s="3">
        <v>40</v>
      </c>
      <c r="K301" s="3">
        <v>99</v>
      </c>
      <c r="L301" s="3">
        <v>33</v>
      </c>
    </row>
    <row r="302" spans="2:12" s="5" customFormat="1" ht="9.75" customHeight="1">
      <c r="B302" s="7" t="s">
        <v>145</v>
      </c>
      <c r="C302" s="5">
        <f>C301/41096</f>
        <v>0.8999902666926222</v>
      </c>
      <c r="D302" s="5">
        <f>D301/41096</f>
        <v>0.03825189799493868</v>
      </c>
      <c r="E302" s="5">
        <f>E301/41096</f>
        <v>0.06175783531243917</v>
      </c>
      <c r="F302" s="5">
        <f>F301/4517</f>
        <v>1</v>
      </c>
      <c r="G302" s="5">
        <f>G301/205</f>
        <v>1</v>
      </c>
      <c r="H302" s="5">
        <f>H301/214</f>
        <v>0.3317757009345794</v>
      </c>
      <c r="I302" s="5">
        <f>I301/214</f>
        <v>0.48130841121495327</v>
      </c>
      <c r="J302" s="5">
        <f>J301/214</f>
        <v>0.18691588785046728</v>
      </c>
      <c r="K302" s="5">
        <f>K301/99</f>
        <v>1</v>
      </c>
      <c r="L302" s="5">
        <f>L301/33</f>
        <v>1</v>
      </c>
    </row>
    <row r="303" spans="2:12" ht="4.5" customHeight="1"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9.75" customHeight="1">
      <c r="A304" s="4" t="s">
        <v>107</v>
      </c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ht="9.75" customHeight="1">
      <c r="B305" s="6" t="s">
        <v>94</v>
      </c>
      <c r="C305" s="2">
        <v>21554</v>
      </c>
      <c r="D305" s="2">
        <v>1380</v>
      </c>
      <c r="E305" s="2">
        <v>987</v>
      </c>
      <c r="F305" s="2">
        <v>1323</v>
      </c>
      <c r="G305" s="2">
        <v>110</v>
      </c>
      <c r="H305" s="2">
        <v>17</v>
      </c>
      <c r="I305" s="2">
        <v>15</v>
      </c>
      <c r="J305" s="2">
        <v>11</v>
      </c>
      <c r="K305" s="2">
        <v>19</v>
      </c>
      <c r="L305" s="2">
        <v>38</v>
      </c>
    </row>
    <row r="306" spans="1:12" ht="9.75" customHeight="1">
      <c r="A306" s="4" t="s">
        <v>144</v>
      </c>
      <c r="C306" s="3">
        <v>21554</v>
      </c>
      <c r="D306" s="3">
        <v>1380</v>
      </c>
      <c r="E306" s="3">
        <v>987</v>
      </c>
      <c r="F306" s="3">
        <v>1323</v>
      </c>
      <c r="G306" s="3">
        <v>110</v>
      </c>
      <c r="H306" s="3">
        <v>17</v>
      </c>
      <c r="I306" s="3">
        <v>15</v>
      </c>
      <c r="J306" s="3">
        <v>11</v>
      </c>
      <c r="K306" s="3">
        <v>19</v>
      </c>
      <c r="L306" s="3">
        <v>38</v>
      </c>
    </row>
    <row r="307" spans="2:12" s="5" customFormat="1" ht="9.75" customHeight="1">
      <c r="B307" s="7" t="s">
        <v>145</v>
      </c>
      <c r="C307" s="5">
        <f>C306/23921</f>
        <v>0.9010492872371556</v>
      </c>
      <c r="D307" s="5">
        <f>D306/23921</f>
        <v>0.05768989590736173</v>
      </c>
      <c r="E307" s="5">
        <f>E306/23921</f>
        <v>0.04126081685548263</v>
      </c>
      <c r="F307" s="5">
        <f>F306/1323</f>
        <v>1</v>
      </c>
      <c r="G307" s="5">
        <f>G306/110</f>
        <v>1</v>
      </c>
      <c r="H307" s="5">
        <f>H306/43</f>
        <v>0.3953488372093023</v>
      </c>
      <c r="I307" s="5">
        <f>I306/43</f>
        <v>0.3488372093023256</v>
      </c>
      <c r="J307" s="5">
        <f>J306/43</f>
        <v>0.2558139534883721</v>
      </c>
      <c r="K307" s="5">
        <f>K306/19</f>
        <v>1</v>
      </c>
      <c r="L307" s="5">
        <f>L306/38</f>
        <v>1</v>
      </c>
    </row>
    <row r="308" spans="2:12" ht="4.5" customHeight="1"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9.75" customHeight="1">
      <c r="A309" s="4" t="s">
        <v>108</v>
      </c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ht="9.75" customHeight="1">
      <c r="B310" s="6" t="s">
        <v>94</v>
      </c>
      <c r="C310" s="2">
        <v>17277</v>
      </c>
      <c r="D310" s="2">
        <v>1344</v>
      </c>
      <c r="E310" s="2">
        <v>1659</v>
      </c>
      <c r="F310" s="2">
        <v>8050</v>
      </c>
      <c r="G310" s="2">
        <v>197</v>
      </c>
      <c r="H310" s="2">
        <v>39</v>
      </c>
      <c r="I310" s="2">
        <v>40</v>
      </c>
      <c r="J310" s="2">
        <v>9</v>
      </c>
      <c r="K310" s="2">
        <v>58</v>
      </c>
      <c r="L310" s="2">
        <v>37</v>
      </c>
    </row>
    <row r="311" spans="1:12" ht="9.75" customHeight="1">
      <c r="A311" s="4" t="s">
        <v>144</v>
      </c>
      <c r="C311" s="3">
        <v>17277</v>
      </c>
      <c r="D311" s="3">
        <v>1344</v>
      </c>
      <c r="E311" s="3">
        <v>1659</v>
      </c>
      <c r="F311" s="3">
        <v>8050</v>
      </c>
      <c r="G311" s="3">
        <v>197</v>
      </c>
      <c r="H311" s="3">
        <v>39</v>
      </c>
      <c r="I311" s="3">
        <v>40</v>
      </c>
      <c r="J311" s="3">
        <v>9</v>
      </c>
      <c r="K311" s="3">
        <v>58</v>
      </c>
      <c r="L311" s="3">
        <v>37</v>
      </c>
    </row>
    <row r="312" spans="2:12" s="5" customFormat="1" ht="9.75" customHeight="1">
      <c r="B312" s="7" t="s">
        <v>145</v>
      </c>
      <c r="C312" s="5">
        <f>C311/20280</f>
        <v>0.8519230769230769</v>
      </c>
      <c r="D312" s="5">
        <f>D311/20280</f>
        <v>0.06627218934911243</v>
      </c>
      <c r="E312" s="5">
        <f>E311/20280</f>
        <v>0.08180473372781065</v>
      </c>
      <c r="F312" s="5">
        <f>F311/8050</f>
        <v>1</v>
      </c>
      <c r="G312" s="5">
        <f>G311/197</f>
        <v>1</v>
      </c>
      <c r="H312" s="5">
        <f>H311/88</f>
        <v>0.4431818181818182</v>
      </c>
      <c r="I312" s="5">
        <f>I311/88</f>
        <v>0.45454545454545453</v>
      </c>
      <c r="J312" s="5">
        <f>J311/88</f>
        <v>0.10227272727272728</v>
      </c>
      <c r="K312" s="5">
        <f>K311/58</f>
        <v>1</v>
      </c>
      <c r="L312" s="5">
        <f>L311/37</f>
        <v>1</v>
      </c>
    </row>
    <row r="313" spans="2:12" ht="4.5" customHeight="1"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9.75" customHeight="1">
      <c r="A314" s="4" t="s">
        <v>109</v>
      </c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ht="9.75" customHeight="1">
      <c r="B315" s="6" t="s">
        <v>94</v>
      </c>
      <c r="C315" s="2">
        <v>13485</v>
      </c>
      <c r="D315" s="2">
        <v>965</v>
      </c>
      <c r="E315" s="2">
        <v>1283</v>
      </c>
      <c r="F315" s="2">
        <v>3444</v>
      </c>
      <c r="G315" s="2">
        <v>132</v>
      </c>
      <c r="H315" s="2">
        <v>8</v>
      </c>
      <c r="I315" s="2">
        <v>11</v>
      </c>
      <c r="J315" s="2">
        <v>3</v>
      </c>
      <c r="K315" s="2">
        <v>29</v>
      </c>
      <c r="L315" s="2">
        <v>40</v>
      </c>
    </row>
    <row r="316" spans="1:12" ht="9.75" customHeight="1">
      <c r="A316" s="4" t="s">
        <v>144</v>
      </c>
      <c r="C316" s="3">
        <v>13485</v>
      </c>
      <c r="D316" s="3">
        <v>965</v>
      </c>
      <c r="E316" s="3">
        <v>1283</v>
      </c>
      <c r="F316" s="3">
        <v>3444</v>
      </c>
      <c r="G316" s="3">
        <v>132</v>
      </c>
      <c r="H316" s="3">
        <v>8</v>
      </c>
      <c r="I316" s="3">
        <v>11</v>
      </c>
      <c r="J316" s="3">
        <v>3</v>
      </c>
      <c r="K316" s="3">
        <v>29</v>
      </c>
      <c r="L316" s="3">
        <v>40</v>
      </c>
    </row>
    <row r="317" spans="2:12" s="5" customFormat="1" ht="9.75" customHeight="1">
      <c r="B317" s="7" t="s">
        <v>145</v>
      </c>
      <c r="C317" s="5">
        <f>C316/15733</f>
        <v>0.8571156168562893</v>
      </c>
      <c r="D317" s="5">
        <f>D316/15733</f>
        <v>0.061336045255196085</v>
      </c>
      <c r="E317" s="5">
        <f>E316/15733</f>
        <v>0.0815483378885146</v>
      </c>
      <c r="F317" s="5">
        <f>F316/3444</f>
        <v>1</v>
      </c>
      <c r="G317" s="5">
        <f>G316/132</f>
        <v>1</v>
      </c>
      <c r="H317" s="5">
        <f>H316/22</f>
        <v>0.36363636363636365</v>
      </c>
      <c r="I317" s="5">
        <f>I316/22</f>
        <v>0.5</v>
      </c>
      <c r="J317" s="5">
        <f>J316/22</f>
        <v>0.13636363636363635</v>
      </c>
      <c r="K317" s="5">
        <f>K316/29</f>
        <v>1</v>
      </c>
      <c r="L317" s="5">
        <f>L316/40</f>
        <v>1</v>
      </c>
    </row>
    <row r="318" spans="2:12" ht="4.5" customHeight="1"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9.75" customHeight="1">
      <c r="A319" s="4" t="s">
        <v>110</v>
      </c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ht="9.75" customHeight="1">
      <c r="B320" s="6" t="s">
        <v>94</v>
      </c>
      <c r="C320" s="2">
        <v>24216</v>
      </c>
      <c r="D320" s="2">
        <v>1565</v>
      </c>
      <c r="E320" s="2">
        <v>1541</v>
      </c>
      <c r="F320" s="2">
        <v>5194</v>
      </c>
      <c r="G320" s="2">
        <v>201</v>
      </c>
      <c r="H320" s="2">
        <v>23</v>
      </c>
      <c r="I320" s="2">
        <v>26</v>
      </c>
      <c r="J320" s="2">
        <v>18</v>
      </c>
      <c r="K320" s="2">
        <v>82</v>
      </c>
      <c r="L320" s="2">
        <v>24</v>
      </c>
    </row>
    <row r="321" spans="1:12" ht="9.75" customHeight="1">
      <c r="A321" s="4" t="s">
        <v>144</v>
      </c>
      <c r="C321" s="3">
        <v>24216</v>
      </c>
      <c r="D321" s="3">
        <v>1565</v>
      </c>
      <c r="E321" s="3">
        <v>1541</v>
      </c>
      <c r="F321" s="3">
        <v>5194</v>
      </c>
      <c r="G321" s="3">
        <v>201</v>
      </c>
      <c r="H321" s="3">
        <v>23</v>
      </c>
      <c r="I321" s="3">
        <v>26</v>
      </c>
      <c r="J321" s="3">
        <v>18</v>
      </c>
      <c r="K321" s="3">
        <v>82</v>
      </c>
      <c r="L321" s="3">
        <v>24</v>
      </c>
    </row>
    <row r="322" spans="2:12" s="5" customFormat="1" ht="9.75" customHeight="1">
      <c r="B322" s="7" t="s">
        <v>145</v>
      </c>
      <c r="C322" s="5">
        <f>C321/27322</f>
        <v>0.8863187175170193</v>
      </c>
      <c r="D322" s="5">
        <f>D321/27322</f>
        <v>0.057279847741746576</v>
      </c>
      <c r="E322" s="5">
        <f>E321/27322</f>
        <v>0.05640143474123417</v>
      </c>
      <c r="F322" s="5">
        <f>F321/5194</f>
        <v>1</v>
      </c>
      <c r="G322" s="5">
        <f>G321/201</f>
        <v>1</v>
      </c>
      <c r="H322" s="5">
        <f>H321/67</f>
        <v>0.34328358208955223</v>
      </c>
      <c r="I322" s="5">
        <f>I321/67</f>
        <v>0.3880597014925373</v>
      </c>
      <c r="J322" s="5">
        <f>J321/67</f>
        <v>0.26865671641791045</v>
      </c>
      <c r="K322" s="5">
        <f>K321/82</f>
        <v>1</v>
      </c>
      <c r="L322" s="5">
        <f>L321/24</f>
        <v>1</v>
      </c>
    </row>
    <row r="323" spans="2:12" ht="4.5" customHeight="1"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9.75" customHeight="1">
      <c r="A324" s="4" t="s">
        <v>111</v>
      </c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ht="9.75" customHeight="1">
      <c r="B325" s="6" t="s">
        <v>94</v>
      </c>
      <c r="C325" s="2">
        <v>15942</v>
      </c>
      <c r="D325" s="2">
        <v>1333</v>
      </c>
      <c r="E325" s="2">
        <v>1029</v>
      </c>
      <c r="F325" s="2">
        <v>1127</v>
      </c>
      <c r="G325" s="2">
        <v>115</v>
      </c>
      <c r="H325" s="2">
        <v>7</v>
      </c>
      <c r="I325" s="2">
        <v>12</v>
      </c>
      <c r="J325" s="2">
        <v>3</v>
      </c>
      <c r="K325" s="2">
        <v>20</v>
      </c>
      <c r="L325" s="2">
        <v>43</v>
      </c>
    </row>
    <row r="326" spans="1:12" ht="9.75" customHeight="1">
      <c r="A326" s="4" t="s">
        <v>144</v>
      </c>
      <c r="C326" s="3">
        <v>15942</v>
      </c>
      <c r="D326" s="3">
        <v>1333</v>
      </c>
      <c r="E326" s="3">
        <v>1029</v>
      </c>
      <c r="F326" s="3">
        <v>1127</v>
      </c>
      <c r="G326" s="3">
        <v>115</v>
      </c>
      <c r="H326" s="3">
        <v>7</v>
      </c>
      <c r="I326" s="3">
        <v>12</v>
      </c>
      <c r="J326" s="3">
        <v>3</v>
      </c>
      <c r="K326" s="3">
        <v>20</v>
      </c>
      <c r="L326" s="3">
        <v>43</v>
      </c>
    </row>
    <row r="327" spans="2:12" s="5" customFormat="1" ht="9.75" customHeight="1">
      <c r="B327" s="7" t="s">
        <v>145</v>
      </c>
      <c r="C327" s="5">
        <f>C326/18304</f>
        <v>0.8709571678321678</v>
      </c>
      <c r="D327" s="5">
        <f>D326/18304</f>
        <v>0.07282561188811189</v>
      </c>
      <c r="E327" s="5">
        <f>E326/18304</f>
        <v>0.05621722027972028</v>
      </c>
      <c r="F327" s="5">
        <f>F326/1127</f>
        <v>1</v>
      </c>
      <c r="G327" s="5">
        <f>G326/115</f>
        <v>1</v>
      </c>
      <c r="H327" s="5">
        <f>H326/22</f>
        <v>0.3181818181818182</v>
      </c>
      <c r="I327" s="5">
        <f>I326/22</f>
        <v>0.5454545454545454</v>
      </c>
      <c r="J327" s="5">
        <f>J326/22</f>
        <v>0.13636363636363635</v>
      </c>
      <c r="K327" s="5">
        <f>K326/20</f>
        <v>1</v>
      </c>
      <c r="L327" s="5">
        <f>L326/43</f>
        <v>1</v>
      </c>
    </row>
    <row r="328" spans="2:12" ht="4.5" customHeight="1"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9.75" customHeight="1">
      <c r="A329" s="4" t="s">
        <v>112</v>
      </c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ht="9.75" customHeight="1">
      <c r="B330" s="6" t="s">
        <v>94</v>
      </c>
      <c r="C330" s="2">
        <v>31045</v>
      </c>
      <c r="D330" s="2">
        <v>1470</v>
      </c>
      <c r="E330" s="2">
        <v>3583</v>
      </c>
      <c r="F330" s="2">
        <v>21327</v>
      </c>
      <c r="G330" s="2">
        <v>347</v>
      </c>
      <c r="H330" s="2">
        <v>118</v>
      </c>
      <c r="I330" s="2">
        <v>139</v>
      </c>
      <c r="J330" s="2">
        <v>54</v>
      </c>
      <c r="K330" s="2">
        <v>265</v>
      </c>
      <c r="L330" s="2">
        <v>74</v>
      </c>
    </row>
    <row r="331" spans="1:12" ht="9.75" customHeight="1">
      <c r="A331" s="4" t="s">
        <v>144</v>
      </c>
      <c r="C331" s="3">
        <v>31045</v>
      </c>
      <c r="D331" s="3">
        <v>1470</v>
      </c>
      <c r="E331" s="3">
        <v>3583</v>
      </c>
      <c r="F331" s="3">
        <v>21327</v>
      </c>
      <c r="G331" s="3">
        <v>347</v>
      </c>
      <c r="H331" s="3">
        <v>118</v>
      </c>
      <c r="I331" s="3">
        <v>139</v>
      </c>
      <c r="J331" s="3">
        <v>54</v>
      </c>
      <c r="K331" s="3">
        <v>265</v>
      </c>
      <c r="L331" s="3">
        <v>74</v>
      </c>
    </row>
    <row r="332" spans="2:12" s="5" customFormat="1" ht="9.75" customHeight="1">
      <c r="B332" s="7" t="s">
        <v>145</v>
      </c>
      <c r="C332" s="5">
        <f>C331/36098</f>
        <v>0.860019945703363</v>
      </c>
      <c r="D332" s="5">
        <f>D331/36098</f>
        <v>0.04072247769959555</v>
      </c>
      <c r="E332" s="5">
        <f>E331/36098</f>
        <v>0.09925757659704139</v>
      </c>
      <c r="F332" s="5">
        <f>F331/21327</f>
        <v>1</v>
      </c>
      <c r="G332" s="5">
        <f>G331/347</f>
        <v>1</v>
      </c>
      <c r="H332" s="5">
        <f>H331/311</f>
        <v>0.37942122186495175</v>
      </c>
      <c r="I332" s="5">
        <f>I331/311</f>
        <v>0.44694533762057875</v>
      </c>
      <c r="J332" s="5">
        <f>J331/311</f>
        <v>0.17363344051446947</v>
      </c>
      <c r="K332" s="5">
        <f>K331/265</f>
        <v>1</v>
      </c>
      <c r="L332" s="5">
        <f>L331/74</f>
        <v>1</v>
      </c>
    </row>
    <row r="333" spans="2:12" ht="4.5" customHeight="1"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9.75" customHeight="1">
      <c r="A334" s="4" t="s">
        <v>113</v>
      </c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ht="9.75" customHeight="1">
      <c r="B335" s="6" t="s">
        <v>94</v>
      </c>
      <c r="C335" s="2">
        <v>27834</v>
      </c>
      <c r="D335" s="2">
        <v>1888</v>
      </c>
      <c r="E335" s="2">
        <v>2746</v>
      </c>
      <c r="F335" s="2">
        <v>21685</v>
      </c>
      <c r="G335" s="2">
        <v>392</v>
      </c>
      <c r="H335" s="2">
        <v>160</v>
      </c>
      <c r="I335" s="2">
        <v>108</v>
      </c>
      <c r="J335" s="2">
        <v>84</v>
      </c>
      <c r="K335" s="2">
        <v>244</v>
      </c>
      <c r="L335" s="2">
        <v>53</v>
      </c>
    </row>
    <row r="336" spans="1:12" ht="9.75" customHeight="1">
      <c r="A336" s="4" t="s">
        <v>144</v>
      </c>
      <c r="C336" s="3">
        <v>27834</v>
      </c>
      <c r="D336" s="3">
        <v>1888</v>
      </c>
      <c r="E336" s="3">
        <v>2746</v>
      </c>
      <c r="F336" s="3">
        <v>21685</v>
      </c>
      <c r="G336" s="3">
        <v>392</v>
      </c>
      <c r="H336" s="3">
        <v>160</v>
      </c>
      <c r="I336" s="3">
        <v>108</v>
      </c>
      <c r="J336" s="3">
        <v>84</v>
      </c>
      <c r="K336" s="3">
        <v>244</v>
      </c>
      <c r="L336" s="3">
        <v>53</v>
      </c>
    </row>
    <row r="337" spans="2:12" s="5" customFormat="1" ht="9.75" customHeight="1">
      <c r="B337" s="7" t="s">
        <v>145</v>
      </c>
      <c r="C337" s="5">
        <f>C336/32468</f>
        <v>0.8572748552420845</v>
      </c>
      <c r="D337" s="5">
        <f>D336/32468</f>
        <v>0.05814956264629789</v>
      </c>
      <c r="E337" s="5">
        <f>E336/32468</f>
        <v>0.08457558211161759</v>
      </c>
      <c r="F337" s="5">
        <f>F336/21685</f>
        <v>1</v>
      </c>
      <c r="G337" s="5">
        <f>G336/392</f>
        <v>1</v>
      </c>
      <c r="H337" s="5">
        <f>H336/352</f>
        <v>0.45454545454545453</v>
      </c>
      <c r="I337" s="5">
        <f>I336/352</f>
        <v>0.3068181818181818</v>
      </c>
      <c r="J337" s="5">
        <f>J336/352</f>
        <v>0.23863636363636365</v>
      </c>
      <c r="K337" s="5">
        <f>K336/244</f>
        <v>1</v>
      </c>
      <c r="L337" s="5">
        <f>L336/53</f>
        <v>1</v>
      </c>
    </row>
    <row r="338" spans="2:12" ht="4.5" customHeight="1"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9.75" customHeight="1">
      <c r="A339" s="4" t="s">
        <v>114</v>
      </c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ht="9.75" customHeight="1">
      <c r="B340" s="6" t="s">
        <v>94</v>
      </c>
      <c r="C340" s="2">
        <v>21584</v>
      </c>
      <c r="D340" s="2">
        <v>1900</v>
      </c>
      <c r="E340" s="2">
        <v>2026</v>
      </c>
      <c r="F340" s="2">
        <v>8434</v>
      </c>
      <c r="G340" s="2">
        <v>274</v>
      </c>
      <c r="H340" s="2">
        <v>38</v>
      </c>
      <c r="I340" s="2">
        <v>37</v>
      </c>
      <c r="J340" s="2">
        <v>10</v>
      </c>
      <c r="K340" s="2">
        <v>102</v>
      </c>
      <c r="L340" s="2">
        <v>36</v>
      </c>
    </row>
    <row r="341" spans="1:12" ht="9.75" customHeight="1">
      <c r="A341" s="4" t="s">
        <v>144</v>
      </c>
      <c r="C341" s="3">
        <v>21584</v>
      </c>
      <c r="D341" s="3">
        <v>1900</v>
      </c>
      <c r="E341" s="3">
        <v>2026</v>
      </c>
      <c r="F341" s="3">
        <v>8434</v>
      </c>
      <c r="G341" s="3">
        <v>274</v>
      </c>
      <c r="H341" s="3">
        <v>38</v>
      </c>
      <c r="I341" s="3">
        <v>37</v>
      </c>
      <c r="J341" s="3">
        <v>10</v>
      </c>
      <c r="K341" s="3">
        <v>102</v>
      </c>
      <c r="L341" s="3">
        <v>36</v>
      </c>
    </row>
    <row r="342" spans="2:12" s="5" customFormat="1" ht="9.75" customHeight="1">
      <c r="B342" s="7" t="s">
        <v>145</v>
      </c>
      <c r="C342" s="5">
        <f>C341/25510</f>
        <v>0.8460995687965503</v>
      </c>
      <c r="D342" s="5">
        <f>D341/25510</f>
        <v>0.07448059584476675</v>
      </c>
      <c r="E342" s="5">
        <f>E341/25510</f>
        <v>0.07941983535868287</v>
      </c>
      <c r="F342" s="5">
        <f>F341/8434</f>
        <v>1</v>
      </c>
      <c r="G342" s="5">
        <f>G341/274</f>
        <v>1</v>
      </c>
      <c r="H342" s="5">
        <f>H341/85</f>
        <v>0.4470588235294118</v>
      </c>
      <c r="I342" s="5">
        <f>I341/85</f>
        <v>0.43529411764705883</v>
      </c>
      <c r="J342" s="5">
        <f>J341/85</f>
        <v>0.11764705882352941</v>
      </c>
      <c r="K342" s="5">
        <f>K341/102</f>
        <v>1</v>
      </c>
      <c r="L342" s="5">
        <f>L341/36</f>
        <v>1</v>
      </c>
    </row>
    <row r="343" spans="2:12" ht="4.5" customHeight="1"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9.75" customHeight="1">
      <c r="A344" s="4" t="s">
        <v>116</v>
      </c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ht="9.75" customHeight="1">
      <c r="B345" s="6" t="s">
        <v>94</v>
      </c>
      <c r="C345" s="2">
        <v>15696</v>
      </c>
      <c r="D345" s="2">
        <v>1213</v>
      </c>
      <c r="E345" s="2">
        <v>1806</v>
      </c>
      <c r="F345" s="2">
        <v>7090</v>
      </c>
      <c r="G345" s="2">
        <v>165</v>
      </c>
      <c r="H345" s="2">
        <v>16</v>
      </c>
      <c r="I345" s="2">
        <v>29</v>
      </c>
      <c r="J345" s="2">
        <v>15</v>
      </c>
      <c r="K345" s="2">
        <v>58</v>
      </c>
      <c r="L345" s="2">
        <v>26</v>
      </c>
    </row>
    <row r="346" spans="2:12" ht="9.75" customHeight="1">
      <c r="B346" s="6" t="s">
        <v>115</v>
      </c>
      <c r="C346" s="2">
        <v>2633</v>
      </c>
      <c r="D346" s="2">
        <v>264</v>
      </c>
      <c r="E346" s="2">
        <v>460</v>
      </c>
      <c r="F346" s="2">
        <v>3069</v>
      </c>
      <c r="G346" s="2">
        <v>56</v>
      </c>
      <c r="H346" s="2">
        <v>5</v>
      </c>
      <c r="I346" s="2">
        <v>10</v>
      </c>
      <c r="J346" s="2">
        <v>2</v>
      </c>
      <c r="K346" s="2">
        <v>33</v>
      </c>
      <c r="L346" s="2">
        <v>7</v>
      </c>
    </row>
    <row r="347" spans="1:12" ht="9.75" customHeight="1">
      <c r="A347" s="4" t="s">
        <v>144</v>
      </c>
      <c r="C347" s="3">
        <v>18329</v>
      </c>
      <c r="D347" s="3">
        <v>1477</v>
      </c>
      <c r="E347" s="3">
        <v>2266</v>
      </c>
      <c r="F347" s="3">
        <v>10159</v>
      </c>
      <c r="G347" s="3">
        <v>221</v>
      </c>
      <c r="H347" s="3">
        <v>21</v>
      </c>
      <c r="I347" s="3">
        <v>39</v>
      </c>
      <c r="J347" s="3">
        <v>17</v>
      </c>
      <c r="K347" s="3">
        <v>91</v>
      </c>
      <c r="L347" s="3">
        <v>33</v>
      </c>
    </row>
    <row r="348" spans="2:12" s="5" customFormat="1" ht="9.75" customHeight="1">
      <c r="B348" s="7" t="s">
        <v>145</v>
      </c>
      <c r="C348" s="5">
        <f>C347/22072</f>
        <v>0.8304186299383834</v>
      </c>
      <c r="D348" s="5">
        <f>D347/22072</f>
        <v>0.06691736136281261</v>
      </c>
      <c r="E348" s="5">
        <f>E347/22072</f>
        <v>0.10266400869880392</v>
      </c>
      <c r="F348" s="5">
        <f>F347/10159</f>
        <v>1</v>
      </c>
      <c r="G348" s="5">
        <f>G347/221</f>
        <v>1</v>
      </c>
      <c r="H348" s="5">
        <f>H347/77</f>
        <v>0.2727272727272727</v>
      </c>
      <c r="I348" s="5">
        <f>I347/77</f>
        <v>0.5064935064935064</v>
      </c>
      <c r="J348" s="5">
        <f>J347/77</f>
        <v>0.22077922077922077</v>
      </c>
      <c r="K348" s="5">
        <f>K347/91</f>
        <v>1</v>
      </c>
      <c r="L348" s="5">
        <f>L347/33</f>
        <v>1</v>
      </c>
    </row>
    <row r="349" spans="2:12" ht="4.5" customHeight="1"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9.75" customHeight="1">
      <c r="A350" s="4" t="s">
        <v>117</v>
      </c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ht="9.75" customHeight="1">
      <c r="B351" s="6" t="s">
        <v>94</v>
      </c>
      <c r="C351" s="2">
        <v>17908</v>
      </c>
      <c r="D351" s="2">
        <v>1512</v>
      </c>
      <c r="E351" s="2">
        <v>1677</v>
      </c>
      <c r="F351" s="2">
        <v>8639</v>
      </c>
      <c r="G351" s="2">
        <v>243</v>
      </c>
      <c r="H351" s="2">
        <v>29</v>
      </c>
      <c r="I351" s="2">
        <v>13</v>
      </c>
      <c r="J351" s="2">
        <v>17</v>
      </c>
      <c r="K351" s="2">
        <v>79</v>
      </c>
      <c r="L351" s="2">
        <v>44</v>
      </c>
    </row>
    <row r="352" spans="1:12" ht="9.75" customHeight="1">
      <c r="A352" s="4" t="s">
        <v>144</v>
      </c>
      <c r="C352" s="3">
        <v>17908</v>
      </c>
      <c r="D352" s="3">
        <v>1512</v>
      </c>
      <c r="E352" s="3">
        <v>1677</v>
      </c>
      <c r="F352" s="3">
        <v>8639</v>
      </c>
      <c r="G352" s="3">
        <v>243</v>
      </c>
      <c r="H352" s="3">
        <v>29</v>
      </c>
      <c r="I352" s="3">
        <v>13</v>
      </c>
      <c r="J352" s="3">
        <v>17</v>
      </c>
      <c r="K352" s="3">
        <v>79</v>
      </c>
      <c r="L352" s="3">
        <v>44</v>
      </c>
    </row>
    <row r="353" spans="2:12" s="5" customFormat="1" ht="9.75" customHeight="1">
      <c r="B353" s="7" t="s">
        <v>145</v>
      </c>
      <c r="C353" s="5">
        <f>C352/21097</f>
        <v>0.8488410674503484</v>
      </c>
      <c r="D353" s="5">
        <f>D352/21097</f>
        <v>0.07166895767170688</v>
      </c>
      <c r="E353" s="5">
        <f>E352/21097</f>
        <v>0.07948997487794474</v>
      </c>
      <c r="F353" s="5">
        <f>F352/8639</f>
        <v>1</v>
      </c>
      <c r="G353" s="5">
        <f>G352/243</f>
        <v>1</v>
      </c>
      <c r="H353" s="5">
        <f>H352/59</f>
        <v>0.4915254237288136</v>
      </c>
      <c r="I353" s="5">
        <f>I352/59</f>
        <v>0.22033898305084745</v>
      </c>
      <c r="J353" s="5">
        <f>J352/59</f>
        <v>0.288135593220339</v>
      </c>
      <c r="K353" s="5">
        <f>K352/79</f>
        <v>1</v>
      </c>
      <c r="L353" s="5">
        <f>L352/44</f>
        <v>1</v>
      </c>
    </row>
    <row r="354" spans="2:12" ht="4.5" customHeight="1"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9.75" customHeight="1">
      <c r="A355" s="4" t="s">
        <v>118</v>
      </c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ht="9.75" customHeight="1">
      <c r="B356" s="6" t="s">
        <v>94</v>
      </c>
      <c r="C356" s="2">
        <v>21360</v>
      </c>
      <c r="D356" s="2">
        <v>1640</v>
      </c>
      <c r="E356" s="2">
        <v>2074</v>
      </c>
      <c r="F356" s="2">
        <v>9611</v>
      </c>
      <c r="G356" s="2">
        <v>206</v>
      </c>
      <c r="H356" s="2">
        <v>23</v>
      </c>
      <c r="I356" s="2">
        <v>19</v>
      </c>
      <c r="J356" s="2">
        <v>16</v>
      </c>
      <c r="K356" s="2">
        <v>56</v>
      </c>
      <c r="L356" s="2">
        <v>44</v>
      </c>
    </row>
    <row r="357" spans="1:12" ht="9.75" customHeight="1">
      <c r="A357" s="4" t="s">
        <v>144</v>
      </c>
      <c r="C357" s="3">
        <v>21360</v>
      </c>
      <c r="D357" s="3">
        <v>1640</v>
      </c>
      <c r="E357" s="3">
        <v>2074</v>
      </c>
      <c r="F357" s="3">
        <v>9611</v>
      </c>
      <c r="G357" s="3">
        <v>206</v>
      </c>
      <c r="H357" s="3">
        <v>23</v>
      </c>
      <c r="I357" s="3">
        <v>19</v>
      </c>
      <c r="J357" s="3">
        <v>16</v>
      </c>
      <c r="K357" s="3">
        <v>56</v>
      </c>
      <c r="L357" s="3">
        <v>44</v>
      </c>
    </row>
    <row r="358" spans="2:12" s="5" customFormat="1" ht="9.75" customHeight="1">
      <c r="B358" s="7" t="s">
        <v>145</v>
      </c>
      <c r="C358" s="5">
        <f>C357/25074</f>
        <v>0.8518784398181383</v>
      </c>
      <c r="D358" s="5">
        <f>D357/25074</f>
        <v>0.06540639706468852</v>
      </c>
      <c r="E358" s="5">
        <f>E357/25074</f>
        <v>0.08271516311717317</v>
      </c>
      <c r="F358" s="5">
        <f>F357/9611</f>
        <v>1</v>
      </c>
      <c r="G358" s="5">
        <f>G357/206</f>
        <v>1</v>
      </c>
      <c r="H358" s="5">
        <f>H357/58</f>
        <v>0.39655172413793105</v>
      </c>
      <c r="I358" s="5">
        <f>I357/58</f>
        <v>0.3275862068965517</v>
      </c>
      <c r="J358" s="5">
        <f>J357/58</f>
        <v>0.27586206896551724</v>
      </c>
      <c r="K358" s="5">
        <f>K357/56</f>
        <v>1</v>
      </c>
      <c r="L358" s="5">
        <f>L357/44</f>
        <v>1</v>
      </c>
    </row>
    <row r="359" spans="2:12" ht="4.5" customHeight="1"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9.75" customHeight="1">
      <c r="A360" s="4" t="s">
        <v>119</v>
      </c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ht="9.75" customHeight="1">
      <c r="B361" s="6" t="s">
        <v>94</v>
      </c>
      <c r="C361" s="2">
        <v>11982</v>
      </c>
      <c r="D361" s="2">
        <v>750</v>
      </c>
      <c r="E361" s="2">
        <v>1394</v>
      </c>
      <c r="F361" s="2">
        <v>16551</v>
      </c>
      <c r="G361" s="2">
        <v>182</v>
      </c>
      <c r="H361" s="2">
        <v>57</v>
      </c>
      <c r="I361" s="2">
        <v>49</v>
      </c>
      <c r="J361" s="2">
        <v>26</v>
      </c>
      <c r="K361" s="2">
        <v>134</v>
      </c>
      <c r="L361" s="2">
        <v>17</v>
      </c>
    </row>
    <row r="362" spans="2:12" ht="9.75" customHeight="1">
      <c r="B362" s="6" t="s">
        <v>85</v>
      </c>
      <c r="C362" s="2">
        <v>8304</v>
      </c>
      <c r="D362" s="2">
        <v>904</v>
      </c>
      <c r="E362" s="2">
        <v>1601</v>
      </c>
      <c r="F362" s="2">
        <v>15343</v>
      </c>
      <c r="G362" s="2">
        <v>279</v>
      </c>
      <c r="H362" s="2">
        <v>22</v>
      </c>
      <c r="I362" s="2">
        <v>27</v>
      </c>
      <c r="J362" s="2">
        <v>18</v>
      </c>
      <c r="K362" s="2">
        <v>122</v>
      </c>
      <c r="L362" s="2">
        <v>24</v>
      </c>
    </row>
    <row r="363" spans="1:12" ht="9.75" customHeight="1">
      <c r="A363" s="4" t="s">
        <v>144</v>
      </c>
      <c r="C363" s="3">
        <v>20286</v>
      </c>
      <c r="D363" s="3">
        <v>1654</v>
      </c>
      <c r="E363" s="3">
        <v>2995</v>
      </c>
      <c r="F363" s="3">
        <v>31894</v>
      </c>
      <c r="G363" s="3">
        <v>461</v>
      </c>
      <c r="H363" s="3">
        <v>79</v>
      </c>
      <c r="I363" s="3">
        <v>76</v>
      </c>
      <c r="J363" s="3">
        <v>44</v>
      </c>
      <c r="K363" s="3">
        <v>256</v>
      </c>
      <c r="L363" s="3">
        <v>41</v>
      </c>
    </row>
    <row r="364" spans="2:12" s="5" customFormat="1" ht="9.75" customHeight="1">
      <c r="B364" s="7" t="s">
        <v>145</v>
      </c>
      <c r="C364" s="5">
        <f>C363/24935</f>
        <v>0.813555243633447</v>
      </c>
      <c r="D364" s="5">
        <f>D363/24935</f>
        <v>0.0663324644074594</v>
      </c>
      <c r="E364" s="5">
        <f>E363/24935</f>
        <v>0.12011229195909365</v>
      </c>
      <c r="F364" s="5">
        <f>F363/31894</f>
        <v>1</v>
      </c>
      <c r="G364" s="5">
        <f>G363/461</f>
        <v>1</v>
      </c>
      <c r="H364" s="5">
        <f>H363/199</f>
        <v>0.3969849246231156</v>
      </c>
      <c r="I364" s="5">
        <f>I363/199</f>
        <v>0.38190954773869346</v>
      </c>
      <c r="J364" s="5">
        <f>J363/199</f>
        <v>0.22110552763819097</v>
      </c>
      <c r="K364" s="5">
        <f>K363/256</f>
        <v>1</v>
      </c>
      <c r="L364" s="5">
        <f>L363/41</f>
        <v>1</v>
      </c>
    </row>
    <row r="365" spans="2:12" ht="4.5" customHeight="1"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9.75" customHeight="1">
      <c r="A366" s="4" t="s">
        <v>120</v>
      </c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ht="9.75" customHeight="1">
      <c r="B367" s="6" t="s">
        <v>94</v>
      </c>
      <c r="C367" s="2">
        <v>6856</v>
      </c>
      <c r="D367" s="2">
        <v>625</v>
      </c>
      <c r="E367" s="2">
        <v>777</v>
      </c>
      <c r="F367" s="2">
        <v>8486</v>
      </c>
      <c r="G367" s="2">
        <v>113</v>
      </c>
      <c r="H367" s="2">
        <v>13</v>
      </c>
      <c r="I367" s="2">
        <v>9</v>
      </c>
      <c r="J367" s="2">
        <v>5</v>
      </c>
      <c r="K367" s="2">
        <v>39</v>
      </c>
      <c r="L367" s="2">
        <v>12</v>
      </c>
    </row>
    <row r="368" spans="2:12" ht="9.75" customHeight="1">
      <c r="B368" s="6" t="s">
        <v>115</v>
      </c>
      <c r="C368" s="2">
        <v>6010</v>
      </c>
      <c r="D368" s="2">
        <v>605</v>
      </c>
      <c r="E368" s="2">
        <v>769</v>
      </c>
      <c r="F368" s="2">
        <v>14260</v>
      </c>
      <c r="G368" s="2">
        <v>125</v>
      </c>
      <c r="H368" s="2">
        <v>20</v>
      </c>
      <c r="I368" s="2">
        <v>17</v>
      </c>
      <c r="J368" s="2">
        <v>6</v>
      </c>
      <c r="K368" s="2">
        <v>98</v>
      </c>
      <c r="L368" s="2">
        <v>18</v>
      </c>
    </row>
    <row r="369" spans="2:12" ht="9.75" customHeight="1">
      <c r="B369" s="6" t="s">
        <v>85</v>
      </c>
      <c r="C369" s="2">
        <v>2045</v>
      </c>
      <c r="D369" s="2">
        <v>154</v>
      </c>
      <c r="E369" s="2">
        <v>193</v>
      </c>
      <c r="F369" s="2">
        <v>2914</v>
      </c>
      <c r="G369" s="2">
        <v>25</v>
      </c>
      <c r="H369" s="2">
        <v>5</v>
      </c>
      <c r="I369" s="2">
        <v>3</v>
      </c>
      <c r="J369" s="2">
        <v>5</v>
      </c>
      <c r="K369" s="2">
        <v>28</v>
      </c>
      <c r="L369" s="2">
        <v>4</v>
      </c>
    </row>
    <row r="370" spans="1:12" ht="9.75" customHeight="1">
      <c r="A370" s="4" t="s">
        <v>144</v>
      </c>
      <c r="C370" s="3">
        <v>14911</v>
      </c>
      <c r="D370" s="3">
        <v>1384</v>
      </c>
      <c r="E370" s="3">
        <v>1739</v>
      </c>
      <c r="F370" s="3">
        <v>25660</v>
      </c>
      <c r="G370" s="3">
        <v>263</v>
      </c>
      <c r="H370" s="3">
        <v>38</v>
      </c>
      <c r="I370" s="3">
        <v>29</v>
      </c>
      <c r="J370" s="3">
        <v>16</v>
      </c>
      <c r="K370" s="3">
        <v>165</v>
      </c>
      <c r="L370" s="3">
        <v>34</v>
      </c>
    </row>
    <row r="371" spans="2:12" s="5" customFormat="1" ht="9.75" customHeight="1">
      <c r="B371" s="7" t="s">
        <v>145</v>
      </c>
      <c r="C371" s="5">
        <f>C370/18034</f>
        <v>0.8268271043584341</v>
      </c>
      <c r="D371" s="5">
        <f>D370/18034</f>
        <v>0.0767439281357436</v>
      </c>
      <c r="E371" s="5">
        <f>E370/18034</f>
        <v>0.09642896750582233</v>
      </c>
      <c r="F371" s="5">
        <f>F370/25660</f>
        <v>1</v>
      </c>
      <c r="G371" s="5">
        <f>G370/263</f>
        <v>1</v>
      </c>
      <c r="H371" s="5">
        <f>H370/83</f>
        <v>0.4578313253012048</v>
      </c>
      <c r="I371" s="5">
        <f>I370/83</f>
        <v>0.3493975903614458</v>
      </c>
      <c r="J371" s="5">
        <f>J370/83</f>
        <v>0.1927710843373494</v>
      </c>
      <c r="K371" s="5">
        <f>K370/165</f>
        <v>1</v>
      </c>
      <c r="L371" s="5">
        <f>L370/34</f>
        <v>1</v>
      </c>
    </row>
    <row r="372" spans="2:12" ht="4.5" customHeight="1"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9.75" customHeight="1">
      <c r="A373" s="4" t="s">
        <v>121</v>
      </c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ht="9.75" customHeight="1">
      <c r="B374" s="6" t="s">
        <v>94</v>
      </c>
      <c r="C374" s="2">
        <v>5072</v>
      </c>
      <c r="D374" s="2">
        <v>467</v>
      </c>
      <c r="E374" s="2">
        <v>482</v>
      </c>
      <c r="F374" s="2">
        <v>1948</v>
      </c>
      <c r="G374" s="2">
        <v>62</v>
      </c>
      <c r="H374" s="2">
        <v>11</v>
      </c>
      <c r="I374" s="2">
        <v>8</v>
      </c>
      <c r="J374" s="2">
        <v>5</v>
      </c>
      <c r="K374" s="2">
        <v>16</v>
      </c>
      <c r="L374" s="2">
        <v>11</v>
      </c>
    </row>
    <row r="375" spans="2:12" ht="9.75" customHeight="1">
      <c r="B375" s="6" t="s">
        <v>85</v>
      </c>
      <c r="C375" s="2">
        <v>7634</v>
      </c>
      <c r="D375" s="2">
        <v>854</v>
      </c>
      <c r="E375" s="2">
        <v>891</v>
      </c>
      <c r="F375" s="2">
        <v>6434</v>
      </c>
      <c r="G375" s="2">
        <v>104</v>
      </c>
      <c r="H375" s="2">
        <v>18</v>
      </c>
      <c r="I375" s="2">
        <v>21</v>
      </c>
      <c r="J375" s="2">
        <v>9</v>
      </c>
      <c r="K375" s="2">
        <v>40</v>
      </c>
      <c r="L375" s="2">
        <v>22</v>
      </c>
    </row>
    <row r="376" spans="1:12" ht="9.75" customHeight="1">
      <c r="A376" s="4" t="s">
        <v>144</v>
      </c>
      <c r="C376" s="3">
        <v>12706</v>
      </c>
      <c r="D376" s="3">
        <v>1321</v>
      </c>
      <c r="E376" s="3">
        <v>1373</v>
      </c>
      <c r="F376" s="3">
        <v>8382</v>
      </c>
      <c r="G376" s="3">
        <v>166</v>
      </c>
      <c r="H376" s="3">
        <v>29</v>
      </c>
      <c r="I376" s="3">
        <v>29</v>
      </c>
      <c r="J376" s="3">
        <v>14</v>
      </c>
      <c r="K376" s="3">
        <v>56</v>
      </c>
      <c r="L376" s="3">
        <v>33</v>
      </c>
    </row>
    <row r="377" spans="2:12" s="5" customFormat="1" ht="9.75" customHeight="1">
      <c r="B377" s="7" t="s">
        <v>145</v>
      </c>
      <c r="C377" s="5">
        <f>C376/15400</f>
        <v>0.8250649350649351</v>
      </c>
      <c r="D377" s="5">
        <f>D376/15400</f>
        <v>0.08577922077922077</v>
      </c>
      <c r="E377" s="5">
        <f>E376/15400</f>
        <v>0.08915584415584416</v>
      </c>
      <c r="F377" s="5">
        <f>F376/8382</f>
        <v>1</v>
      </c>
      <c r="G377" s="5">
        <f>G376/166</f>
        <v>1</v>
      </c>
      <c r="H377" s="5">
        <f>H376/72</f>
        <v>0.4027777777777778</v>
      </c>
      <c r="I377" s="5">
        <f>I376/72</f>
        <v>0.4027777777777778</v>
      </c>
      <c r="J377" s="5">
        <f>J376/72</f>
        <v>0.19444444444444445</v>
      </c>
      <c r="K377" s="5">
        <f>K376/56</f>
        <v>1</v>
      </c>
      <c r="L377" s="5">
        <f>L376/33</f>
        <v>1</v>
      </c>
    </row>
    <row r="378" spans="2:12" ht="4.5" customHeight="1"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9.75" customHeight="1">
      <c r="A379" s="4" t="s">
        <v>122</v>
      </c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ht="9.75" customHeight="1">
      <c r="B380" s="6" t="s">
        <v>85</v>
      </c>
      <c r="C380" s="2">
        <v>14112</v>
      </c>
      <c r="D380" s="2">
        <v>1190</v>
      </c>
      <c r="E380" s="2">
        <v>1708</v>
      </c>
      <c r="F380" s="2">
        <v>5569</v>
      </c>
      <c r="G380" s="2">
        <v>152</v>
      </c>
      <c r="H380" s="2">
        <v>9</v>
      </c>
      <c r="I380" s="2">
        <v>16</v>
      </c>
      <c r="J380" s="2">
        <v>7</v>
      </c>
      <c r="K380" s="2">
        <v>53</v>
      </c>
      <c r="L380" s="2">
        <v>40</v>
      </c>
    </row>
    <row r="381" spans="1:12" ht="9.75" customHeight="1">
      <c r="A381" s="4" t="s">
        <v>144</v>
      </c>
      <c r="C381" s="3">
        <v>14112</v>
      </c>
      <c r="D381" s="3">
        <v>1190</v>
      </c>
      <c r="E381" s="3">
        <v>1708</v>
      </c>
      <c r="F381" s="3">
        <v>5569</v>
      </c>
      <c r="G381" s="3">
        <v>152</v>
      </c>
      <c r="H381" s="3">
        <v>9</v>
      </c>
      <c r="I381" s="3">
        <v>16</v>
      </c>
      <c r="J381" s="3">
        <v>7</v>
      </c>
      <c r="K381" s="3">
        <v>53</v>
      </c>
      <c r="L381" s="3">
        <v>40</v>
      </c>
    </row>
    <row r="382" spans="2:12" s="5" customFormat="1" ht="9.75" customHeight="1">
      <c r="B382" s="7" t="s">
        <v>145</v>
      </c>
      <c r="C382" s="5">
        <f>C381/17010</f>
        <v>0.8296296296296296</v>
      </c>
      <c r="D382" s="5">
        <f>D381/17010</f>
        <v>0.06995884773662552</v>
      </c>
      <c r="E382" s="5">
        <f>E381/17010</f>
        <v>0.10041152263374485</v>
      </c>
      <c r="F382" s="5">
        <f>F381/5569</f>
        <v>1</v>
      </c>
      <c r="G382" s="5">
        <f>G381/152</f>
        <v>1</v>
      </c>
      <c r="H382" s="5">
        <f>H381/32</f>
        <v>0.28125</v>
      </c>
      <c r="I382" s="5">
        <f>I381/32</f>
        <v>0.5</v>
      </c>
      <c r="J382" s="5">
        <f>J381/32</f>
        <v>0.21875</v>
      </c>
      <c r="K382" s="5">
        <f>K381/53</f>
        <v>1</v>
      </c>
      <c r="L382" s="5">
        <f>L381/40</f>
        <v>1</v>
      </c>
    </row>
    <row r="383" spans="2:12" ht="4.5" customHeight="1"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9.75" customHeight="1">
      <c r="A384" s="4" t="s">
        <v>124</v>
      </c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ht="9.75" customHeight="1">
      <c r="B385" s="6" t="s">
        <v>123</v>
      </c>
      <c r="C385" s="2">
        <v>452</v>
      </c>
      <c r="D385" s="2">
        <v>27</v>
      </c>
      <c r="E385" s="2">
        <v>55</v>
      </c>
      <c r="F385" s="2">
        <v>410</v>
      </c>
      <c r="G385" s="2">
        <v>7</v>
      </c>
      <c r="H385" s="2">
        <v>0</v>
      </c>
      <c r="I385" s="2">
        <v>2</v>
      </c>
      <c r="J385" s="2">
        <v>1</v>
      </c>
      <c r="K385" s="2">
        <v>2</v>
      </c>
      <c r="L385" s="2">
        <v>0</v>
      </c>
    </row>
    <row r="386" spans="2:12" ht="9.75" customHeight="1">
      <c r="B386" s="6" t="s">
        <v>85</v>
      </c>
      <c r="C386" s="2">
        <v>16346</v>
      </c>
      <c r="D386" s="2">
        <v>1378</v>
      </c>
      <c r="E386" s="2">
        <v>1775</v>
      </c>
      <c r="F386" s="2">
        <v>20378</v>
      </c>
      <c r="G386" s="2">
        <v>267</v>
      </c>
      <c r="H386" s="2">
        <v>55</v>
      </c>
      <c r="I386" s="2">
        <v>48</v>
      </c>
      <c r="J386" s="2">
        <v>31</v>
      </c>
      <c r="K386" s="2">
        <v>134</v>
      </c>
      <c r="L386" s="2">
        <v>31</v>
      </c>
    </row>
    <row r="387" spans="1:12" ht="9.75" customHeight="1">
      <c r="A387" s="4" t="s">
        <v>144</v>
      </c>
      <c r="C387" s="3">
        <v>16798</v>
      </c>
      <c r="D387" s="3">
        <v>1405</v>
      </c>
      <c r="E387" s="3">
        <v>1830</v>
      </c>
      <c r="F387" s="3">
        <v>20788</v>
      </c>
      <c r="G387" s="3">
        <v>274</v>
      </c>
      <c r="H387" s="3">
        <v>55</v>
      </c>
      <c r="I387" s="3">
        <v>50</v>
      </c>
      <c r="J387" s="3">
        <v>32</v>
      </c>
      <c r="K387" s="3">
        <v>136</v>
      </c>
      <c r="L387" s="3">
        <v>31</v>
      </c>
    </row>
    <row r="388" spans="2:12" s="5" customFormat="1" ht="9.75" customHeight="1">
      <c r="B388" s="7" t="s">
        <v>145</v>
      </c>
      <c r="C388" s="5">
        <f>C387/20033</f>
        <v>0.8385164478610293</v>
      </c>
      <c r="D388" s="5">
        <f>D387/20033</f>
        <v>0.07013427844057306</v>
      </c>
      <c r="E388" s="5">
        <f>E387/20033</f>
        <v>0.09134927369839764</v>
      </c>
      <c r="F388" s="5">
        <f>F387/20788</f>
        <v>1</v>
      </c>
      <c r="G388" s="5">
        <f>G387/274</f>
        <v>1</v>
      </c>
      <c r="H388" s="5">
        <f>H387/137</f>
        <v>0.40145985401459855</v>
      </c>
      <c r="I388" s="5">
        <f>I387/137</f>
        <v>0.36496350364963503</v>
      </c>
      <c r="J388" s="5">
        <f>J387/137</f>
        <v>0.23357664233576642</v>
      </c>
      <c r="K388" s="5">
        <f>K387/136</f>
        <v>1</v>
      </c>
      <c r="L388" s="5">
        <f>L387/31</f>
        <v>1</v>
      </c>
    </row>
    <row r="389" spans="2:12" ht="4.5" customHeight="1"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9.75" customHeight="1">
      <c r="A390" s="4" t="s">
        <v>125</v>
      </c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ht="9.75" customHeight="1">
      <c r="B391" s="6" t="s">
        <v>123</v>
      </c>
      <c r="C391" s="2">
        <v>18820</v>
      </c>
      <c r="D391" s="2">
        <v>1539</v>
      </c>
      <c r="E391" s="2">
        <v>2031</v>
      </c>
      <c r="F391" s="2">
        <v>25463</v>
      </c>
      <c r="G391" s="2">
        <v>366</v>
      </c>
      <c r="H391" s="2">
        <v>51</v>
      </c>
      <c r="I391" s="2">
        <v>60</v>
      </c>
      <c r="J391" s="2">
        <v>17</v>
      </c>
      <c r="K391" s="2">
        <v>186</v>
      </c>
      <c r="L391" s="2">
        <v>37</v>
      </c>
    </row>
    <row r="392" spans="1:12" ht="9.75" customHeight="1">
      <c r="A392" s="4" t="s">
        <v>144</v>
      </c>
      <c r="C392" s="3">
        <v>18820</v>
      </c>
      <c r="D392" s="3">
        <v>1539</v>
      </c>
      <c r="E392" s="3">
        <v>2031</v>
      </c>
      <c r="F392" s="3">
        <v>25463</v>
      </c>
      <c r="G392" s="3">
        <v>366</v>
      </c>
      <c r="H392" s="3">
        <v>51</v>
      </c>
      <c r="I392" s="3">
        <v>60</v>
      </c>
      <c r="J392" s="3">
        <v>17</v>
      </c>
      <c r="K392" s="3">
        <v>186</v>
      </c>
      <c r="L392" s="3">
        <v>37</v>
      </c>
    </row>
    <row r="393" spans="2:12" s="5" customFormat="1" ht="9.75" customHeight="1">
      <c r="B393" s="7" t="s">
        <v>145</v>
      </c>
      <c r="C393" s="5">
        <f>C392/22390</f>
        <v>0.8405538186690487</v>
      </c>
      <c r="D393" s="5">
        <f>D392/22390</f>
        <v>0.06873604287628406</v>
      </c>
      <c r="E393" s="5">
        <f>E392/22390</f>
        <v>0.09071013845466726</v>
      </c>
      <c r="F393" s="5">
        <f>F392/25463</f>
        <v>1</v>
      </c>
      <c r="G393" s="5">
        <f>G392/366</f>
        <v>1</v>
      </c>
      <c r="H393" s="5">
        <f>H392/128</f>
        <v>0.3984375</v>
      </c>
      <c r="I393" s="5">
        <f>I392/128</f>
        <v>0.46875</v>
      </c>
      <c r="J393" s="5">
        <f>J392/128</f>
        <v>0.1328125</v>
      </c>
      <c r="K393" s="5">
        <f>K392/186</f>
        <v>1</v>
      </c>
      <c r="L393" s="5">
        <f>L392/37</f>
        <v>1</v>
      </c>
    </row>
    <row r="394" spans="2:12" ht="4.5" customHeight="1"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9.75" customHeight="1">
      <c r="A395" s="4" t="s">
        <v>126</v>
      </c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ht="9.75" customHeight="1">
      <c r="B396" s="6" t="s">
        <v>123</v>
      </c>
      <c r="C396" s="2">
        <v>15987</v>
      </c>
      <c r="D396" s="2">
        <v>1284</v>
      </c>
      <c r="E396" s="2">
        <v>2353</v>
      </c>
      <c r="F396" s="2">
        <v>22253</v>
      </c>
      <c r="G396" s="2">
        <v>420</v>
      </c>
      <c r="H396" s="2">
        <v>34</v>
      </c>
      <c r="I396" s="2">
        <v>36</v>
      </c>
      <c r="J396" s="2">
        <v>26</v>
      </c>
      <c r="K396" s="2">
        <v>112</v>
      </c>
      <c r="L396" s="2">
        <v>21</v>
      </c>
    </row>
    <row r="397" spans="2:12" ht="9.75" customHeight="1">
      <c r="B397" s="6" t="s">
        <v>85</v>
      </c>
      <c r="C397" s="2">
        <v>4628</v>
      </c>
      <c r="D397" s="2">
        <v>373</v>
      </c>
      <c r="E397" s="2">
        <v>795</v>
      </c>
      <c r="F397" s="2">
        <v>8230</v>
      </c>
      <c r="G397" s="2">
        <v>155</v>
      </c>
      <c r="H397" s="2">
        <v>16</v>
      </c>
      <c r="I397" s="2">
        <v>34</v>
      </c>
      <c r="J397" s="2">
        <v>8</v>
      </c>
      <c r="K397" s="2">
        <v>66</v>
      </c>
      <c r="L397" s="2">
        <v>13</v>
      </c>
    </row>
    <row r="398" spans="1:12" ht="9.75" customHeight="1">
      <c r="A398" s="4" t="s">
        <v>144</v>
      </c>
      <c r="C398" s="3">
        <v>20615</v>
      </c>
      <c r="D398" s="3">
        <v>1657</v>
      </c>
      <c r="E398" s="3">
        <v>3148</v>
      </c>
      <c r="F398" s="3">
        <v>30483</v>
      </c>
      <c r="G398" s="3">
        <v>575</v>
      </c>
      <c r="H398" s="3">
        <v>50</v>
      </c>
      <c r="I398" s="3">
        <v>70</v>
      </c>
      <c r="J398" s="3">
        <v>34</v>
      </c>
      <c r="K398" s="3">
        <v>178</v>
      </c>
      <c r="L398" s="3">
        <v>34</v>
      </c>
    </row>
    <row r="399" spans="2:12" s="5" customFormat="1" ht="9.75" customHeight="1">
      <c r="B399" s="7" t="s">
        <v>145</v>
      </c>
      <c r="C399" s="5">
        <f>C398/25420</f>
        <v>0.8109756097560976</v>
      </c>
      <c r="D399" s="5">
        <f>D398/25420</f>
        <v>0.06518489378442172</v>
      </c>
      <c r="E399" s="5">
        <f>E398/25420</f>
        <v>0.12383949645948072</v>
      </c>
      <c r="F399" s="5">
        <f>F398/30483</f>
        <v>1</v>
      </c>
      <c r="G399" s="5">
        <f>G398/575</f>
        <v>1</v>
      </c>
      <c r="H399" s="5">
        <f>H398/154</f>
        <v>0.3246753246753247</v>
      </c>
      <c r="I399" s="5">
        <f>I398/154</f>
        <v>0.45454545454545453</v>
      </c>
      <c r="J399" s="5">
        <f>J398/154</f>
        <v>0.22077922077922077</v>
      </c>
      <c r="K399" s="5">
        <f>K398/178</f>
        <v>1</v>
      </c>
      <c r="L399" s="5">
        <f>L398/34</f>
        <v>1</v>
      </c>
    </row>
    <row r="400" spans="2:12" ht="4.5" customHeight="1"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9.75" customHeight="1">
      <c r="A401" s="4" t="s">
        <v>128</v>
      </c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ht="9.75" customHeight="1">
      <c r="B402" s="6" t="s">
        <v>123</v>
      </c>
      <c r="C402" s="2">
        <v>10978</v>
      </c>
      <c r="D402" s="2">
        <v>1048</v>
      </c>
      <c r="E402" s="2">
        <v>1457</v>
      </c>
      <c r="F402" s="2">
        <v>17935</v>
      </c>
      <c r="G402" s="2">
        <v>291</v>
      </c>
      <c r="H402" s="2">
        <v>33</v>
      </c>
      <c r="I402" s="2">
        <v>33</v>
      </c>
      <c r="J402" s="2">
        <v>18</v>
      </c>
      <c r="K402" s="2">
        <v>116</v>
      </c>
      <c r="L402" s="2">
        <v>32</v>
      </c>
    </row>
    <row r="403" spans="2:12" ht="9.75" customHeight="1">
      <c r="B403" s="6" t="s">
        <v>127</v>
      </c>
      <c r="C403" s="2">
        <v>3656</v>
      </c>
      <c r="D403" s="2">
        <v>291</v>
      </c>
      <c r="E403" s="2">
        <v>419</v>
      </c>
      <c r="F403" s="2">
        <v>9316</v>
      </c>
      <c r="G403" s="2">
        <v>126</v>
      </c>
      <c r="H403" s="2">
        <v>16</v>
      </c>
      <c r="I403" s="2">
        <v>17</v>
      </c>
      <c r="J403" s="2">
        <v>8</v>
      </c>
      <c r="K403" s="2">
        <v>89</v>
      </c>
      <c r="L403" s="2">
        <v>4</v>
      </c>
    </row>
    <row r="404" spans="1:12" ht="9.75" customHeight="1">
      <c r="A404" s="4" t="s">
        <v>144</v>
      </c>
      <c r="C404" s="3">
        <v>14634</v>
      </c>
      <c r="D404" s="3">
        <v>1339</v>
      </c>
      <c r="E404" s="3">
        <v>1876</v>
      </c>
      <c r="F404" s="3">
        <v>27251</v>
      </c>
      <c r="G404" s="3">
        <v>417</v>
      </c>
      <c r="H404" s="3">
        <v>49</v>
      </c>
      <c r="I404" s="3">
        <v>50</v>
      </c>
      <c r="J404" s="3">
        <v>26</v>
      </c>
      <c r="K404" s="3">
        <v>205</v>
      </c>
      <c r="L404" s="3">
        <v>36</v>
      </c>
    </row>
    <row r="405" spans="2:12" s="5" customFormat="1" ht="9.75" customHeight="1">
      <c r="B405" s="7" t="s">
        <v>145</v>
      </c>
      <c r="C405" s="5">
        <f>C404/17849</f>
        <v>0.8198778643061236</v>
      </c>
      <c r="D405" s="5">
        <f>D404/17849</f>
        <v>0.07501820830298617</v>
      </c>
      <c r="E405" s="5">
        <f>E404/17849</f>
        <v>0.10510392739089025</v>
      </c>
      <c r="F405" s="5">
        <f>F404/27251</f>
        <v>1</v>
      </c>
      <c r="G405" s="5">
        <f>G404/417</f>
        <v>1</v>
      </c>
      <c r="H405" s="5">
        <f>H404/125</f>
        <v>0.392</v>
      </c>
      <c r="I405" s="5">
        <f>I404/125</f>
        <v>0.4</v>
      </c>
      <c r="J405" s="5">
        <f>J404/125</f>
        <v>0.208</v>
      </c>
      <c r="K405" s="5">
        <f>K404/205</f>
        <v>1</v>
      </c>
      <c r="L405" s="5">
        <f>L404/36</f>
        <v>1</v>
      </c>
    </row>
    <row r="406" spans="2:12" ht="4.5" customHeight="1"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9.75" customHeight="1">
      <c r="A407" s="4" t="s">
        <v>129</v>
      </c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ht="9.75" customHeight="1">
      <c r="B408" s="6" t="s">
        <v>115</v>
      </c>
      <c r="C408" s="2">
        <v>19439</v>
      </c>
      <c r="D408" s="2">
        <v>1817</v>
      </c>
      <c r="E408" s="2">
        <v>2263</v>
      </c>
      <c r="F408" s="2">
        <v>30021</v>
      </c>
      <c r="G408" s="2">
        <v>338</v>
      </c>
      <c r="H408" s="2">
        <v>74</v>
      </c>
      <c r="I408" s="2">
        <v>58</v>
      </c>
      <c r="J408" s="2">
        <v>34</v>
      </c>
      <c r="K408" s="2">
        <v>259</v>
      </c>
      <c r="L408" s="2">
        <v>50</v>
      </c>
    </row>
    <row r="409" spans="1:12" ht="9.75" customHeight="1">
      <c r="A409" s="4" t="s">
        <v>144</v>
      </c>
      <c r="C409" s="3">
        <v>19439</v>
      </c>
      <c r="D409" s="3">
        <v>1817</v>
      </c>
      <c r="E409" s="3">
        <v>2263</v>
      </c>
      <c r="F409" s="3">
        <v>30021</v>
      </c>
      <c r="G409" s="3">
        <v>338</v>
      </c>
      <c r="H409" s="3">
        <v>74</v>
      </c>
      <c r="I409" s="3">
        <v>58</v>
      </c>
      <c r="J409" s="3">
        <v>34</v>
      </c>
      <c r="K409" s="3">
        <v>259</v>
      </c>
      <c r="L409" s="3">
        <v>50</v>
      </c>
    </row>
    <row r="410" spans="2:12" s="5" customFormat="1" ht="9.75" customHeight="1">
      <c r="B410" s="7" t="s">
        <v>145</v>
      </c>
      <c r="C410" s="5">
        <f>C409/23519</f>
        <v>0.8265232365321655</v>
      </c>
      <c r="D410" s="5">
        <f>D409/23519</f>
        <v>0.07725668608359199</v>
      </c>
      <c r="E410" s="5">
        <f>E409/23519</f>
        <v>0.09622007738424253</v>
      </c>
      <c r="F410" s="5">
        <f>F409/30021</f>
        <v>1</v>
      </c>
      <c r="G410" s="5">
        <f>G409/338</f>
        <v>1</v>
      </c>
      <c r="H410" s="5">
        <f>H409/166</f>
        <v>0.4457831325301205</v>
      </c>
      <c r="I410" s="5">
        <f>I409/166</f>
        <v>0.3493975903614458</v>
      </c>
      <c r="J410" s="5">
        <f>J409/166</f>
        <v>0.20481927710843373</v>
      </c>
      <c r="K410" s="5">
        <f>K409/259</f>
        <v>1</v>
      </c>
      <c r="L410" s="5">
        <f>L409/50</f>
        <v>1</v>
      </c>
    </row>
    <row r="411" spans="2:12" ht="4.5" customHeight="1"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9.75" customHeight="1">
      <c r="A412" s="4" t="s">
        <v>130</v>
      </c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ht="9.75" customHeight="1">
      <c r="B413" s="6" t="s">
        <v>115</v>
      </c>
      <c r="C413" s="2">
        <v>13981</v>
      </c>
      <c r="D413" s="2">
        <v>1260</v>
      </c>
      <c r="E413" s="2">
        <v>1934</v>
      </c>
      <c r="F413" s="2">
        <v>22618</v>
      </c>
      <c r="G413" s="2">
        <v>333</v>
      </c>
      <c r="H413" s="2">
        <v>42</v>
      </c>
      <c r="I413" s="2">
        <v>50</v>
      </c>
      <c r="J413" s="2">
        <v>28</v>
      </c>
      <c r="K413" s="2">
        <v>229</v>
      </c>
      <c r="L413" s="2">
        <v>32</v>
      </c>
    </row>
    <row r="414" spans="1:12" ht="9.75" customHeight="1">
      <c r="A414" s="4" t="s">
        <v>144</v>
      </c>
      <c r="C414" s="3">
        <v>13981</v>
      </c>
      <c r="D414" s="3">
        <v>1260</v>
      </c>
      <c r="E414" s="3">
        <v>1934</v>
      </c>
      <c r="F414" s="3">
        <v>22618</v>
      </c>
      <c r="G414" s="3">
        <v>333</v>
      </c>
      <c r="H414" s="3">
        <v>42</v>
      </c>
      <c r="I414" s="3">
        <v>50</v>
      </c>
      <c r="J414" s="3">
        <v>28</v>
      </c>
      <c r="K414" s="3">
        <v>229</v>
      </c>
      <c r="L414" s="3">
        <v>32</v>
      </c>
    </row>
    <row r="415" spans="2:12" s="5" customFormat="1" ht="9.75" customHeight="1">
      <c r="B415" s="7" t="s">
        <v>145</v>
      </c>
      <c r="C415" s="5">
        <f>C414/17175</f>
        <v>0.8140320232896652</v>
      </c>
      <c r="D415" s="5">
        <f>D414/17175</f>
        <v>0.07336244541484715</v>
      </c>
      <c r="E415" s="5">
        <f>E414/17175</f>
        <v>0.11260553129548763</v>
      </c>
      <c r="F415" s="5">
        <f>F414/22618</f>
        <v>1</v>
      </c>
      <c r="G415" s="5">
        <f>G414/333</f>
        <v>1</v>
      </c>
      <c r="H415" s="5">
        <f>H414/120</f>
        <v>0.35</v>
      </c>
      <c r="I415" s="5">
        <f>I414/120</f>
        <v>0.4166666666666667</v>
      </c>
      <c r="J415" s="5">
        <f>J414/120</f>
        <v>0.23333333333333334</v>
      </c>
      <c r="K415" s="5">
        <f>K414/229</f>
        <v>1</v>
      </c>
      <c r="L415" s="5">
        <f>L414/32</f>
        <v>1</v>
      </c>
    </row>
    <row r="416" spans="2:12" ht="4.5" customHeight="1"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9.75" customHeight="1">
      <c r="A417" s="4" t="s">
        <v>131</v>
      </c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ht="9.75" customHeight="1">
      <c r="B418" s="6" t="s">
        <v>115</v>
      </c>
      <c r="C418" s="2">
        <v>11514</v>
      </c>
      <c r="D418" s="2">
        <v>1116</v>
      </c>
      <c r="E418" s="2">
        <v>1087</v>
      </c>
      <c r="F418" s="2">
        <v>7855</v>
      </c>
      <c r="G418" s="2">
        <v>142</v>
      </c>
      <c r="H418" s="2">
        <v>35</v>
      </c>
      <c r="I418" s="2">
        <v>29</v>
      </c>
      <c r="J418" s="2">
        <v>17</v>
      </c>
      <c r="K418" s="2">
        <v>110</v>
      </c>
      <c r="L418" s="2">
        <v>37</v>
      </c>
    </row>
    <row r="419" spans="1:12" ht="9.75" customHeight="1">
      <c r="A419" s="4" t="s">
        <v>144</v>
      </c>
      <c r="C419" s="3">
        <v>11514</v>
      </c>
      <c r="D419" s="3">
        <v>1116</v>
      </c>
      <c r="E419" s="3">
        <v>1087</v>
      </c>
      <c r="F419" s="3">
        <v>7855</v>
      </c>
      <c r="G419" s="3">
        <v>142</v>
      </c>
      <c r="H419" s="3">
        <v>35</v>
      </c>
      <c r="I419" s="3">
        <v>29</v>
      </c>
      <c r="J419" s="3">
        <v>17</v>
      </c>
      <c r="K419" s="3">
        <v>110</v>
      </c>
      <c r="L419" s="3">
        <v>37</v>
      </c>
    </row>
    <row r="420" spans="2:12" s="5" customFormat="1" ht="9.75" customHeight="1">
      <c r="B420" s="7" t="s">
        <v>145</v>
      </c>
      <c r="C420" s="5">
        <f>C419/13717</f>
        <v>0.8393963694685427</v>
      </c>
      <c r="D420" s="5">
        <f>D419/13717</f>
        <v>0.08135889771815995</v>
      </c>
      <c r="E420" s="5">
        <f>E419/13717</f>
        <v>0.07924473281329737</v>
      </c>
      <c r="F420" s="5">
        <f>F419/7855</f>
        <v>1</v>
      </c>
      <c r="G420" s="5">
        <f>G419/142</f>
        <v>1</v>
      </c>
      <c r="H420" s="5">
        <f>H419/81</f>
        <v>0.43209876543209874</v>
      </c>
      <c r="I420" s="5">
        <f>I419/81</f>
        <v>0.35802469135802467</v>
      </c>
      <c r="J420" s="5">
        <f>J419/81</f>
        <v>0.20987654320987653</v>
      </c>
      <c r="K420" s="5">
        <f>K419/110</f>
        <v>1</v>
      </c>
      <c r="L420" s="5">
        <f>L419/37</f>
        <v>1</v>
      </c>
    </row>
    <row r="421" spans="2:12" ht="4.5" customHeight="1">
      <c r="B421" s="8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9.75" customHeight="1">
      <c r="A422" s="4" t="s">
        <v>132</v>
      </c>
      <c r="B422" s="8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ht="9.75" customHeight="1">
      <c r="B423" s="6" t="s">
        <v>115</v>
      </c>
      <c r="C423" s="2">
        <v>20277</v>
      </c>
      <c r="D423" s="2">
        <v>1048</v>
      </c>
      <c r="E423" s="2">
        <v>1615</v>
      </c>
      <c r="F423" s="2">
        <v>31833</v>
      </c>
      <c r="G423" s="2">
        <v>342</v>
      </c>
      <c r="H423" s="2">
        <v>87</v>
      </c>
      <c r="I423" s="2">
        <v>75</v>
      </c>
      <c r="J423" s="2">
        <v>24</v>
      </c>
      <c r="K423" s="2">
        <v>304</v>
      </c>
      <c r="L423" s="2">
        <v>44</v>
      </c>
    </row>
    <row r="424" spans="1:12" ht="9.75" customHeight="1">
      <c r="A424" s="4" t="s">
        <v>144</v>
      </c>
      <c r="C424" s="3">
        <v>20277</v>
      </c>
      <c r="D424" s="3">
        <v>1048</v>
      </c>
      <c r="E424" s="3">
        <v>1615</v>
      </c>
      <c r="F424" s="3">
        <v>31833</v>
      </c>
      <c r="G424" s="3">
        <v>342</v>
      </c>
      <c r="H424" s="3">
        <v>87</v>
      </c>
      <c r="I424" s="3">
        <v>75</v>
      </c>
      <c r="J424" s="3">
        <v>24</v>
      </c>
      <c r="K424" s="3">
        <v>304</v>
      </c>
      <c r="L424" s="3">
        <v>44</v>
      </c>
    </row>
    <row r="425" spans="2:12" s="5" customFormat="1" ht="9.75" customHeight="1">
      <c r="B425" s="7" t="s">
        <v>145</v>
      </c>
      <c r="C425" s="5">
        <f>C424/22940</f>
        <v>0.8839145597210113</v>
      </c>
      <c r="D425" s="5">
        <f>D424/22940</f>
        <v>0.045684394071490844</v>
      </c>
      <c r="E425" s="5">
        <f>E424/22940</f>
        <v>0.07040104620749782</v>
      </c>
      <c r="F425" s="5">
        <f>F424/31833</f>
        <v>1</v>
      </c>
      <c r="G425" s="5">
        <f>G424/342</f>
        <v>1</v>
      </c>
      <c r="H425" s="5">
        <f>H424/186</f>
        <v>0.46774193548387094</v>
      </c>
      <c r="I425" s="5">
        <f>I424/186</f>
        <v>0.4032258064516129</v>
      </c>
      <c r="J425" s="5">
        <f>J424/186</f>
        <v>0.12903225806451613</v>
      </c>
      <c r="K425" s="5">
        <f>K424/304</f>
        <v>1</v>
      </c>
      <c r="L425" s="5">
        <f>L424/44</f>
        <v>1</v>
      </c>
    </row>
    <row r="426" spans="2:12" ht="4.5" customHeight="1">
      <c r="B426" s="8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9.75" customHeight="1">
      <c r="A427" s="4" t="s">
        <v>133</v>
      </c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ht="9.75" customHeight="1">
      <c r="B428" s="6" t="s">
        <v>115</v>
      </c>
      <c r="C428" s="2">
        <v>9501</v>
      </c>
      <c r="D428" s="2">
        <v>590</v>
      </c>
      <c r="E428" s="2">
        <v>1255</v>
      </c>
      <c r="F428" s="2">
        <v>22001</v>
      </c>
      <c r="G428" s="2">
        <v>192</v>
      </c>
      <c r="H428" s="2">
        <v>26</v>
      </c>
      <c r="I428" s="2">
        <v>35</v>
      </c>
      <c r="J428" s="2">
        <v>13</v>
      </c>
      <c r="K428" s="2">
        <v>175</v>
      </c>
      <c r="L428" s="2">
        <v>16</v>
      </c>
    </row>
    <row r="429" spans="2:12" ht="9.75" customHeight="1">
      <c r="B429" s="6" t="s">
        <v>123</v>
      </c>
      <c r="C429" s="2">
        <v>4724</v>
      </c>
      <c r="D429" s="2">
        <v>437</v>
      </c>
      <c r="E429" s="2">
        <v>812</v>
      </c>
      <c r="F429" s="2">
        <v>7738</v>
      </c>
      <c r="G429" s="2">
        <v>101</v>
      </c>
      <c r="H429" s="2">
        <v>6</v>
      </c>
      <c r="I429" s="2">
        <v>11</v>
      </c>
      <c r="J429" s="2">
        <v>6</v>
      </c>
      <c r="K429" s="2">
        <v>59</v>
      </c>
      <c r="L429" s="2">
        <v>11</v>
      </c>
    </row>
    <row r="430" spans="1:12" ht="9.75" customHeight="1">
      <c r="A430" s="4" t="s">
        <v>144</v>
      </c>
      <c r="C430" s="3">
        <v>14225</v>
      </c>
      <c r="D430" s="3">
        <v>1027</v>
      </c>
      <c r="E430" s="3">
        <v>2067</v>
      </c>
      <c r="F430" s="3">
        <v>29739</v>
      </c>
      <c r="G430" s="3">
        <v>293</v>
      </c>
      <c r="H430" s="3">
        <v>32</v>
      </c>
      <c r="I430" s="3">
        <v>46</v>
      </c>
      <c r="J430" s="3">
        <v>19</v>
      </c>
      <c r="K430" s="3">
        <v>234</v>
      </c>
      <c r="L430" s="3">
        <v>27</v>
      </c>
    </row>
    <row r="431" spans="2:12" s="5" customFormat="1" ht="9.75" customHeight="1">
      <c r="B431" s="7" t="s">
        <v>145</v>
      </c>
      <c r="C431" s="5">
        <f>C430/17319</f>
        <v>0.8213522720711357</v>
      </c>
      <c r="D431" s="5">
        <f>D430/17319</f>
        <v>0.059299035741093596</v>
      </c>
      <c r="E431" s="5">
        <f>E430/17319</f>
        <v>0.11934869218777065</v>
      </c>
      <c r="F431" s="5">
        <f>F430/29739</f>
        <v>1</v>
      </c>
      <c r="G431" s="5">
        <f>G430/293</f>
        <v>1</v>
      </c>
      <c r="H431" s="5">
        <f>H430/97</f>
        <v>0.32989690721649484</v>
      </c>
      <c r="I431" s="5">
        <f>I430/97</f>
        <v>0.4742268041237113</v>
      </c>
      <c r="J431" s="5">
        <f>J430/97</f>
        <v>0.1958762886597938</v>
      </c>
      <c r="K431" s="5">
        <f>K430/234</f>
        <v>1</v>
      </c>
      <c r="L431" s="5">
        <f>L430/27</f>
        <v>1</v>
      </c>
    </row>
    <row r="432" spans="2:12" ht="4.5" customHeight="1">
      <c r="B432" s="8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9.75" customHeight="1">
      <c r="A433" s="4" t="s">
        <v>134</v>
      </c>
      <c r="B433" s="8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ht="9.75" customHeight="1">
      <c r="B434" s="6" t="s">
        <v>115</v>
      </c>
      <c r="C434" s="2">
        <v>15182</v>
      </c>
      <c r="D434" s="2">
        <v>1449</v>
      </c>
      <c r="E434" s="2">
        <v>1782</v>
      </c>
      <c r="F434" s="2">
        <v>25817</v>
      </c>
      <c r="G434" s="2">
        <v>330</v>
      </c>
      <c r="H434" s="2">
        <v>58</v>
      </c>
      <c r="I434" s="2">
        <v>51</v>
      </c>
      <c r="J434" s="2">
        <v>41</v>
      </c>
      <c r="K434" s="2">
        <v>201</v>
      </c>
      <c r="L434" s="2">
        <v>51</v>
      </c>
    </row>
    <row r="435" spans="1:12" ht="9.75" customHeight="1">
      <c r="A435" s="4" t="s">
        <v>144</v>
      </c>
      <c r="C435" s="3">
        <v>15182</v>
      </c>
      <c r="D435" s="3">
        <v>1449</v>
      </c>
      <c r="E435" s="3">
        <v>1782</v>
      </c>
      <c r="F435" s="3">
        <v>25817</v>
      </c>
      <c r="G435" s="3">
        <v>330</v>
      </c>
      <c r="H435" s="3">
        <v>58</v>
      </c>
      <c r="I435" s="3">
        <v>51</v>
      </c>
      <c r="J435" s="3">
        <v>41</v>
      </c>
      <c r="K435" s="3">
        <v>201</v>
      </c>
      <c r="L435" s="3">
        <v>51</v>
      </c>
    </row>
    <row r="436" spans="2:12" s="5" customFormat="1" ht="9.75" customHeight="1">
      <c r="B436" s="7" t="s">
        <v>145</v>
      </c>
      <c r="C436" s="5">
        <f>C435/18413</f>
        <v>0.8245261500027155</v>
      </c>
      <c r="D436" s="5">
        <f>D435/18413</f>
        <v>0.07869440069516102</v>
      </c>
      <c r="E436" s="5">
        <f>E435/18413</f>
        <v>0.0967794493021235</v>
      </c>
      <c r="F436" s="5">
        <f>F435/25817</f>
        <v>1</v>
      </c>
      <c r="G436" s="5">
        <f>G435/330</f>
        <v>1</v>
      </c>
      <c r="H436" s="5">
        <f>H435/150</f>
        <v>0.38666666666666666</v>
      </c>
      <c r="I436" s="5">
        <f>I435/150</f>
        <v>0.34</v>
      </c>
      <c r="J436" s="5">
        <f>J435/150</f>
        <v>0.2733333333333333</v>
      </c>
      <c r="K436" s="5">
        <f>K435/201</f>
        <v>1</v>
      </c>
      <c r="L436" s="5">
        <f>L435/51</f>
        <v>1</v>
      </c>
    </row>
    <row r="437" spans="2:12" ht="4.5" customHeight="1">
      <c r="B437" s="8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9.75" customHeight="1">
      <c r="A438" s="4" t="s">
        <v>135</v>
      </c>
      <c r="B438" s="8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ht="9.75" customHeight="1">
      <c r="B439" s="6" t="s">
        <v>115</v>
      </c>
      <c r="C439" s="2">
        <v>9554</v>
      </c>
      <c r="D439" s="2">
        <v>610</v>
      </c>
      <c r="E439" s="2">
        <v>961</v>
      </c>
      <c r="F439" s="2">
        <v>20032</v>
      </c>
      <c r="G439" s="2">
        <v>235</v>
      </c>
      <c r="H439" s="2">
        <v>56</v>
      </c>
      <c r="I439" s="2">
        <v>42</v>
      </c>
      <c r="J439" s="2">
        <v>16</v>
      </c>
      <c r="K439" s="2">
        <v>185</v>
      </c>
      <c r="L439" s="2">
        <v>7</v>
      </c>
    </row>
    <row r="440" spans="2:12" ht="9.75" customHeight="1">
      <c r="B440" s="6" t="s">
        <v>127</v>
      </c>
      <c r="C440" s="2">
        <v>8450</v>
      </c>
      <c r="D440" s="2">
        <v>577</v>
      </c>
      <c r="E440" s="2">
        <v>802</v>
      </c>
      <c r="F440" s="2">
        <v>10951</v>
      </c>
      <c r="G440" s="2">
        <v>197</v>
      </c>
      <c r="H440" s="2">
        <v>29</v>
      </c>
      <c r="I440" s="2">
        <v>32</v>
      </c>
      <c r="J440" s="2">
        <v>4</v>
      </c>
      <c r="K440" s="2">
        <v>112</v>
      </c>
      <c r="L440" s="2">
        <v>15</v>
      </c>
    </row>
    <row r="441" spans="1:12" ht="9.75" customHeight="1">
      <c r="A441" s="4" t="s">
        <v>144</v>
      </c>
      <c r="C441" s="3">
        <v>18004</v>
      </c>
      <c r="D441" s="3">
        <v>1187</v>
      </c>
      <c r="E441" s="3">
        <v>1763</v>
      </c>
      <c r="F441" s="3">
        <v>30983</v>
      </c>
      <c r="G441" s="3">
        <v>432</v>
      </c>
      <c r="H441" s="3">
        <v>85</v>
      </c>
      <c r="I441" s="3">
        <v>74</v>
      </c>
      <c r="J441" s="3">
        <v>20</v>
      </c>
      <c r="K441" s="3">
        <v>297</v>
      </c>
      <c r="L441" s="3">
        <v>22</v>
      </c>
    </row>
    <row r="442" spans="2:12" s="5" customFormat="1" ht="9.75" customHeight="1">
      <c r="B442" s="7" t="s">
        <v>145</v>
      </c>
      <c r="C442" s="5">
        <f>C441/20954</f>
        <v>0.8592154242626706</v>
      </c>
      <c r="D442" s="5">
        <f>D441/20954</f>
        <v>0.05664789538990169</v>
      </c>
      <c r="E442" s="5">
        <f>E441/20954</f>
        <v>0.0841366803474277</v>
      </c>
      <c r="F442" s="5">
        <f>F441/30983</f>
        <v>1</v>
      </c>
      <c r="G442" s="5">
        <f>G441/432</f>
        <v>1</v>
      </c>
      <c r="H442" s="5">
        <f>H441/179</f>
        <v>0.4748603351955307</v>
      </c>
      <c r="I442" s="5">
        <f>I441/179</f>
        <v>0.4134078212290503</v>
      </c>
      <c r="J442" s="5">
        <f>J441/179</f>
        <v>0.11173184357541899</v>
      </c>
      <c r="K442" s="5">
        <f>K441/297</f>
        <v>1</v>
      </c>
      <c r="L442" s="5">
        <f>L441/22</f>
        <v>1</v>
      </c>
    </row>
    <row r="443" spans="2:12" ht="4.5" customHeight="1">
      <c r="B443" s="8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9.75" customHeight="1">
      <c r="A444" s="4" t="s">
        <v>136</v>
      </c>
      <c r="B444" s="8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ht="9.75" customHeight="1">
      <c r="B445" s="6" t="s">
        <v>127</v>
      </c>
      <c r="C445" s="2">
        <v>30160</v>
      </c>
      <c r="D445" s="2">
        <v>1178</v>
      </c>
      <c r="E445" s="2">
        <v>2475</v>
      </c>
      <c r="F445" s="2">
        <v>38900</v>
      </c>
      <c r="G445" s="2">
        <v>529</v>
      </c>
      <c r="H445" s="2">
        <v>137</v>
      </c>
      <c r="I445" s="2">
        <v>135</v>
      </c>
      <c r="J445" s="2">
        <v>59</v>
      </c>
      <c r="K445" s="2">
        <v>350</v>
      </c>
      <c r="L445" s="2">
        <v>50</v>
      </c>
    </row>
    <row r="446" spans="1:12" ht="9.75" customHeight="1">
      <c r="A446" s="4" t="s">
        <v>144</v>
      </c>
      <c r="C446" s="3">
        <v>30160</v>
      </c>
      <c r="D446" s="3">
        <v>1178</v>
      </c>
      <c r="E446" s="3">
        <v>2475</v>
      </c>
      <c r="F446" s="3">
        <v>38900</v>
      </c>
      <c r="G446" s="3">
        <v>529</v>
      </c>
      <c r="H446" s="3">
        <v>137</v>
      </c>
      <c r="I446" s="3">
        <v>135</v>
      </c>
      <c r="J446" s="3">
        <v>59</v>
      </c>
      <c r="K446" s="3">
        <v>350</v>
      </c>
      <c r="L446" s="3">
        <v>50</v>
      </c>
    </row>
    <row r="447" spans="2:12" s="5" customFormat="1" ht="9.75" customHeight="1">
      <c r="B447" s="7" t="s">
        <v>145</v>
      </c>
      <c r="C447" s="5">
        <f>C446/33813</f>
        <v>0.8919646289888504</v>
      </c>
      <c r="D447" s="5">
        <f>D446/33813</f>
        <v>0.034838671516872206</v>
      </c>
      <c r="E447" s="5">
        <f>E446/33813</f>
        <v>0.07319669949427735</v>
      </c>
      <c r="F447" s="5">
        <f>F446/38900</f>
        <v>1</v>
      </c>
      <c r="G447" s="5">
        <f>G446/529</f>
        <v>1</v>
      </c>
      <c r="H447" s="5">
        <f>H446/331</f>
        <v>0.41389728096676737</v>
      </c>
      <c r="I447" s="5">
        <f>I446/331</f>
        <v>0.4078549848942598</v>
      </c>
      <c r="J447" s="5">
        <f>J446/331</f>
        <v>0.1782477341389728</v>
      </c>
      <c r="K447" s="5">
        <f>K446/350</f>
        <v>1</v>
      </c>
      <c r="L447" s="5">
        <f>L446/50</f>
        <v>1</v>
      </c>
    </row>
    <row r="448" spans="2:12" ht="4.5" customHeight="1">
      <c r="B448" s="8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9.75" customHeight="1">
      <c r="A449" s="4" t="s">
        <v>137</v>
      </c>
      <c r="B449" s="8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ht="9.75" customHeight="1">
      <c r="B450" s="6" t="s">
        <v>127</v>
      </c>
      <c r="C450" s="2">
        <v>29083</v>
      </c>
      <c r="D450" s="2">
        <v>1091</v>
      </c>
      <c r="E450" s="2">
        <v>1866</v>
      </c>
      <c r="F450" s="2">
        <v>36479</v>
      </c>
      <c r="G450" s="2">
        <v>400</v>
      </c>
      <c r="H450" s="2">
        <v>108</v>
      </c>
      <c r="I450" s="2">
        <v>78</v>
      </c>
      <c r="J450" s="2">
        <v>60</v>
      </c>
      <c r="K450" s="2">
        <v>374</v>
      </c>
      <c r="L450" s="2">
        <v>20</v>
      </c>
    </row>
    <row r="451" spans="1:12" ht="9.75" customHeight="1">
      <c r="A451" s="4" t="s">
        <v>144</v>
      </c>
      <c r="C451" s="3">
        <v>29083</v>
      </c>
      <c r="D451" s="3">
        <v>1091</v>
      </c>
      <c r="E451" s="3">
        <v>1866</v>
      </c>
      <c r="F451" s="3">
        <v>36479</v>
      </c>
      <c r="G451" s="3">
        <v>400</v>
      </c>
      <c r="H451" s="3">
        <v>108</v>
      </c>
      <c r="I451" s="3">
        <v>78</v>
      </c>
      <c r="J451" s="3">
        <v>60</v>
      </c>
      <c r="K451" s="3">
        <v>374</v>
      </c>
      <c r="L451" s="3">
        <v>20</v>
      </c>
    </row>
    <row r="452" spans="2:12" s="5" customFormat="1" ht="9.75" customHeight="1">
      <c r="B452" s="7" t="s">
        <v>145</v>
      </c>
      <c r="C452" s="5">
        <f>C451/32040</f>
        <v>0.90770911360799</v>
      </c>
      <c r="D452" s="5">
        <f>D451/32040</f>
        <v>0.034051186017478155</v>
      </c>
      <c r="E452" s="5">
        <f>E451/32040</f>
        <v>0.058239700374531835</v>
      </c>
      <c r="F452" s="5">
        <f>F451/36479</f>
        <v>1</v>
      </c>
      <c r="G452" s="5">
        <f>G451/400</f>
        <v>1</v>
      </c>
      <c r="H452" s="5">
        <f>H451/246</f>
        <v>0.43902439024390244</v>
      </c>
      <c r="I452" s="5">
        <f>I451/246</f>
        <v>0.3170731707317073</v>
      </c>
      <c r="J452" s="5">
        <f>J451/246</f>
        <v>0.24390243902439024</v>
      </c>
      <c r="K452" s="5">
        <f>K451/374</f>
        <v>1</v>
      </c>
      <c r="L452" s="5">
        <f>L451/20</f>
        <v>1</v>
      </c>
    </row>
    <row r="453" spans="2:12" ht="4.5" customHeight="1">
      <c r="B453" s="8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9.75" customHeight="1">
      <c r="A454" s="4" t="s">
        <v>138</v>
      </c>
      <c r="B454" s="8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ht="9.75" customHeight="1">
      <c r="B455" s="6" t="s">
        <v>127</v>
      </c>
      <c r="C455" s="2">
        <v>32827</v>
      </c>
      <c r="D455" s="2">
        <v>1347</v>
      </c>
      <c r="E455" s="2">
        <v>2442</v>
      </c>
      <c r="F455" s="2">
        <v>21598</v>
      </c>
      <c r="G455" s="2">
        <v>457</v>
      </c>
      <c r="H455" s="2">
        <v>249</v>
      </c>
      <c r="I455" s="2">
        <v>166</v>
      </c>
      <c r="J455" s="2">
        <v>72</v>
      </c>
      <c r="K455" s="2">
        <v>410</v>
      </c>
      <c r="L455" s="2">
        <v>56</v>
      </c>
    </row>
    <row r="456" spans="1:12" ht="9.75" customHeight="1">
      <c r="A456" s="4" t="s">
        <v>144</v>
      </c>
      <c r="C456" s="3">
        <v>32827</v>
      </c>
      <c r="D456" s="3">
        <v>1347</v>
      </c>
      <c r="E456" s="3">
        <v>2442</v>
      </c>
      <c r="F456" s="3">
        <v>21598</v>
      </c>
      <c r="G456" s="3">
        <v>457</v>
      </c>
      <c r="H456" s="3">
        <v>249</v>
      </c>
      <c r="I456" s="3">
        <v>166</v>
      </c>
      <c r="J456" s="3">
        <v>72</v>
      </c>
      <c r="K456" s="3">
        <v>410</v>
      </c>
      <c r="L456" s="3">
        <v>56</v>
      </c>
    </row>
    <row r="457" spans="2:12" s="5" customFormat="1" ht="9.75" customHeight="1">
      <c r="B457" s="7" t="s">
        <v>145</v>
      </c>
      <c r="C457" s="5">
        <f>C456/36616</f>
        <v>0.89652064671182</v>
      </c>
      <c r="D457" s="5">
        <f>D456/36616</f>
        <v>0.036787196853834386</v>
      </c>
      <c r="E457" s="5">
        <f>E456/36616</f>
        <v>0.06669215643434565</v>
      </c>
      <c r="F457" s="5">
        <f>F456/21598</f>
        <v>1</v>
      </c>
      <c r="G457" s="5">
        <f>G456/457</f>
        <v>1</v>
      </c>
      <c r="H457" s="5">
        <f>H456/487</f>
        <v>0.5112936344969199</v>
      </c>
      <c r="I457" s="5">
        <f>I456/487</f>
        <v>0.3408624229979466</v>
      </c>
      <c r="J457" s="5">
        <f>J456/487</f>
        <v>0.14784394250513347</v>
      </c>
      <c r="K457" s="5">
        <f>K456/410</f>
        <v>1</v>
      </c>
      <c r="L457" s="5">
        <f>L456/56</f>
        <v>1</v>
      </c>
    </row>
    <row r="458" spans="2:12" ht="4.5" customHeight="1">
      <c r="B458" s="8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9.75" customHeight="1">
      <c r="A459" s="4" t="s">
        <v>139</v>
      </c>
      <c r="B459" s="8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ht="9.75" customHeight="1">
      <c r="B460" s="6" t="s">
        <v>127</v>
      </c>
      <c r="C460" s="2">
        <v>21211</v>
      </c>
      <c r="D460" s="2">
        <v>1364</v>
      </c>
      <c r="E460" s="2">
        <v>2587</v>
      </c>
      <c r="F460" s="2">
        <v>34325</v>
      </c>
      <c r="G460" s="2">
        <v>525</v>
      </c>
      <c r="H460" s="2">
        <v>81</v>
      </c>
      <c r="I460" s="2">
        <v>56</v>
      </c>
      <c r="J460" s="2">
        <v>44</v>
      </c>
      <c r="K460" s="2">
        <v>306</v>
      </c>
      <c r="L460" s="2">
        <v>40</v>
      </c>
    </row>
    <row r="461" spans="1:12" ht="9.75" customHeight="1">
      <c r="A461" s="4" t="s">
        <v>144</v>
      </c>
      <c r="C461" s="3">
        <v>21211</v>
      </c>
      <c r="D461" s="3">
        <v>1364</v>
      </c>
      <c r="E461" s="3">
        <v>2587</v>
      </c>
      <c r="F461" s="3">
        <v>34325</v>
      </c>
      <c r="G461" s="3">
        <v>525</v>
      </c>
      <c r="H461" s="3">
        <v>81</v>
      </c>
      <c r="I461" s="3">
        <v>56</v>
      </c>
      <c r="J461" s="3">
        <v>44</v>
      </c>
      <c r="K461" s="3">
        <v>306</v>
      </c>
      <c r="L461" s="3">
        <v>40</v>
      </c>
    </row>
    <row r="462" spans="2:12" s="5" customFormat="1" ht="9.75" customHeight="1">
      <c r="B462" s="7" t="s">
        <v>145</v>
      </c>
      <c r="C462" s="5">
        <f>C461/25162</f>
        <v>0.842977505762658</v>
      </c>
      <c r="D462" s="5">
        <f>D461/25162</f>
        <v>0.054208727446148956</v>
      </c>
      <c r="E462" s="5">
        <f>E461/25162</f>
        <v>0.10281376679119307</v>
      </c>
      <c r="F462" s="5">
        <f>F461/34325</f>
        <v>1</v>
      </c>
      <c r="G462" s="5">
        <f>G461/525</f>
        <v>1</v>
      </c>
      <c r="H462" s="5">
        <f>H461/181</f>
        <v>0.44751381215469616</v>
      </c>
      <c r="I462" s="5">
        <f>I461/181</f>
        <v>0.30939226519337015</v>
      </c>
      <c r="J462" s="5">
        <f>J461/181</f>
        <v>0.2430939226519337</v>
      </c>
      <c r="K462" s="5">
        <f>K461/306</f>
        <v>1</v>
      </c>
      <c r="L462" s="5">
        <f>L461/40</f>
        <v>1</v>
      </c>
    </row>
    <row r="463" spans="2:12" ht="4.5" customHeight="1">
      <c r="B463" s="8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9.75" customHeight="1">
      <c r="A464" s="4" t="s">
        <v>140</v>
      </c>
      <c r="B464" s="8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ht="9.75" customHeight="1">
      <c r="B465" s="6" t="s">
        <v>127</v>
      </c>
      <c r="C465" s="2">
        <v>27413</v>
      </c>
      <c r="D465" s="2">
        <v>1739</v>
      </c>
      <c r="E465" s="2">
        <v>2145</v>
      </c>
      <c r="F465" s="2">
        <v>21488</v>
      </c>
      <c r="G465" s="2">
        <v>344</v>
      </c>
      <c r="H465" s="2">
        <v>81</v>
      </c>
      <c r="I465" s="2">
        <v>61</v>
      </c>
      <c r="J465" s="2">
        <v>43</v>
      </c>
      <c r="K465" s="2">
        <v>207</v>
      </c>
      <c r="L465" s="2">
        <v>48</v>
      </c>
    </row>
    <row r="466" spans="1:12" ht="9.75" customHeight="1">
      <c r="A466" s="4" t="s">
        <v>144</v>
      </c>
      <c r="C466" s="3">
        <v>27413</v>
      </c>
      <c r="D466" s="3">
        <v>1739</v>
      </c>
      <c r="E466" s="3">
        <v>2145</v>
      </c>
      <c r="F466" s="3">
        <v>21488</v>
      </c>
      <c r="G466" s="3">
        <v>344</v>
      </c>
      <c r="H466" s="3">
        <v>81</v>
      </c>
      <c r="I466" s="3">
        <v>61</v>
      </c>
      <c r="J466" s="3">
        <v>43</v>
      </c>
      <c r="K466" s="3">
        <v>207</v>
      </c>
      <c r="L466" s="3">
        <v>48</v>
      </c>
    </row>
    <row r="467" spans="2:12" s="5" customFormat="1" ht="9.75" customHeight="1">
      <c r="B467" s="7" t="s">
        <v>145</v>
      </c>
      <c r="C467" s="5">
        <f>C466/31297</f>
        <v>0.8758986484327571</v>
      </c>
      <c r="D467" s="5">
        <f>D466/31297</f>
        <v>0.055564431095632166</v>
      </c>
      <c r="E467" s="5">
        <f>E466/31297</f>
        <v>0.0685369204716107</v>
      </c>
      <c r="F467" s="5">
        <f>F466/21488</f>
        <v>1</v>
      </c>
      <c r="G467" s="5">
        <f>G466/344</f>
        <v>1</v>
      </c>
      <c r="H467" s="5">
        <f>H466/185</f>
        <v>0.43783783783783786</v>
      </c>
      <c r="I467" s="5">
        <f>I466/185</f>
        <v>0.32972972972972975</v>
      </c>
      <c r="J467" s="5">
        <f>J466/185</f>
        <v>0.23243243243243245</v>
      </c>
      <c r="K467" s="5">
        <f>K466/207</f>
        <v>1</v>
      </c>
      <c r="L467" s="5">
        <f>L466/48</f>
        <v>1</v>
      </c>
    </row>
    <row r="468" spans="2:12" ht="4.5" customHeight="1">
      <c r="B468" s="8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9.75" customHeight="1">
      <c r="A469" s="4" t="s">
        <v>141</v>
      </c>
      <c r="B469" s="8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ht="9.75" customHeight="1">
      <c r="B470" s="6" t="s">
        <v>127</v>
      </c>
      <c r="C470" s="2">
        <v>19836</v>
      </c>
      <c r="D470" s="2">
        <v>2105</v>
      </c>
      <c r="E470" s="2">
        <v>2079</v>
      </c>
      <c r="F470" s="2">
        <v>11482</v>
      </c>
      <c r="G470" s="2">
        <v>227</v>
      </c>
      <c r="H470" s="2">
        <v>45</v>
      </c>
      <c r="I470" s="2">
        <v>38</v>
      </c>
      <c r="J470" s="2">
        <v>23</v>
      </c>
      <c r="K470" s="2">
        <v>95</v>
      </c>
      <c r="L470" s="2">
        <v>51</v>
      </c>
    </row>
    <row r="471" spans="1:12" ht="9.75" customHeight="1">
      <c r="A471" s="4" t="s">
        <v>144</v>
      </c>
      <c r="C471" s="3">
        <v>19836</v>
      </c>
      <c r="D471" s="3">
        <v>2105</v>
      </c>
      <c r="E471" s="3">
        <v>2079</v>
      </c>
      <c r="F471" s="3">
        <v>11482</v>
      </c>
      <c r="G471" s="3">
        <v>227</v>
      </c>
      <c r="H471" s="3">
        <v>45</v>
      </c>
      <c r="I471" s="3">
        <v>38</v>
      </c>
      <c r="J471" s="3">
        <v>23</v>
      </c>
      <c r="K471" s="3">
        <v>95</v>
      </c>
      <c r="L471" s="3">
        <v>51</v>
      </c>
    </row>
    <row r="472" spans="2:12" s="5" customFormat="1" ht="9.75" customHeight="1">
      <c r="B472" s="7" t="s">
        <v>145</v>
      </c>
      <c r="C472" s="5">
        <f>C471/24020</f>
        <v>0.825811823480433</v>
      </c>
      <c r="D472" s="5">
        <f>D471/24020</f>
        <v>0.0876353039134055</v>
      </c>
      <c r="E472" s="5">
        <f>E471/24020</f>
        <v>0.08655287260616153</v>
      </c>
      <c r="F472" s="5">
        <f>F471/11482</f>
        <v>1</v>
      </c>
      <c r="G472" s="5">
        <f>G471/227</f>
        <v>1</v>
      </c>
      <c r="H472" s="5">
        <f>H471/106</f>
        <v>0.42452830188679247</v>
      </c>
      <c r="I472" s="5">
        <f>I471/106</f>
        <v>0.3584905660377358</v>
      </c>
      <c r="J472" s="5">
        <f>J471/106</f>
        <v>0.2169811320754717</v>
      </c>
      <c r="K472" s="5">
        <f>K471/95</f>
        <v>1</v>
      </c>
      <c r="L472" s="5">
        <f>L471/51</f>
        <v>1</v>
      </c>
    </row>
    <row r="473" spans="2:12" ht="4.5" customHeight="1">
      <c r="B473" s="8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9.75" customHeight="1">
      <c r="A474" s="4" t="s">
        <v>143</v>
      </c>
      <c r="B474" s="8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ht="9.75" customHeight="1">
      <c r="B475" s="6" t="s">
        <v>142</v>
      </c>
      <c r="C475" s="2">
        <v>7170</v>
      </c>
      <c r="D475" s="2">
        <v>1187</v>
      </c>
      <c r="E475" s="2">
        <v>1084</v>
      </c>
      <c r="F475" s="2">
        <v>4956</v>
      </c>
      <c r="G475" s="2">
        <v>139</v>
      </c>
      <c r="H475" s="2">
        <v>9</v>
      </c>
      <c r="I475" s="2">
        <v>7</v>
      </c>
      <c r="J475" s="2">
        <v>5</v>
      </c>
      <c r="K475" s="2">
        <v>15</v>
      </c>
      <c r="L475" s="2">
        <v>21</v>
      </c>
    </row>
    <row r="476" spans="2:12" ht="9.75" customHeight="1">
      <c r="B476" s="6" t="s">
        <v>123</v>
      </c>
      <c r="C476" s="2">
        <v>13380</v>
      </c>
      <c r="D476" s="2">
        <v>655</v>
      </c>
      <c r="E476" s="2">
        <v>1238</v>
      </c>
      <c r="F476" s="2">
        <v>11943</v>
      </c>
      <c r="G476" s="2">
        <v>180</v>
      </c>
      <c r="H476" s="2">
        <v>16</v>
      </c>
      <c r="I476" s="2">
        <v>19</v>
      </c>
      <c r="J476" s="2">
        <v>10</v>
      </c>
      <c r="K476" s="2">
        <v>68</v>
      </c>
      <c r="L476" s="2">
        <v>12</v>
      </c>
    </row>
    <row r="477" spans="1:12" ht="9.75" customHeight="1">
      <c r="A477" s="4" t="s">
        <v>144</v>
      </c>
      <c r="C477" s="3">
        <v>20550</v>
      </c>
      <c r="D477" s="3">
        <v>1842</v>
      </c>
      <c r="E477" s="3">
        <v>2322</v>
      </c>
      <c r="F477" s="3">
        <v>16899</v>
      </c>
      <c r="G477" s="3">
        <v>319</v>
      </c>
      <c r="H477" s="3">
        <v>25</v>
      </c>
      <c r="I477" s="3">
        <v>26</v>
      </c>
      <c r="J477" s="3">
        <v>15</v>
      </c>
      <c r="K477" s="3">
        <v>83</v>
      </c>
      <c r="L477" s="3">
        <v>33</v>
      </c>
    </row>
    <row r="478" spans="2:12" s="5" customFormat="1" ht="9.75" customHeight="1">
      <c r="B478" s="7" t="s">
        <v>145</v>
      </c>
      <c r="C478" s="5">
        <f>C477/24714</f>
        <v>0.8315125030347171</v>
      </c>
      <c r="D478" s="5">
        <f>D477/24714</f>
        <v>0.07453265355668852</v>
      </c>
      <c r="E478" s="5">
        <f>E477/24714</f>
        <v>0.09395484340859432</v>
      </c>
      <c r="F478" s="5">
        <f>F477/16899</f>
        <v>1</v>
      </c>
      <c r="G478" s="5">
        <f>G477/319</f>
        <v>1</v>
      </c>
      <c r="H478" s="5">
        <f>H477/66</f>
        <v>0.3787878787878788</v>
      </c>
      <c r="I478" s="5">
        <f>I477/66</f>
        <v>0.3939393939393939</v>
      </c>
      <c r="J478" s="5">
        <f>J477/66</f>
        <v>0.22727272727272727</v>
      </c>
      <c r="K478" s="5">
        <f>K477/83</f>
        <v>1</v>
      </c>
      <c r="L478" s="5">
        <f>L477/33</f>
        <v>1</v>
      </c>
    </row>
    <row r="479" spans="2:12" ht="4.5" customHeight="1">
      <c r="B479" s="8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ht="9">
      <c r="B480" s="8"/>
      <c r="C480" s="3"/>
      <c r="D480" s="3"/>
      <c r="E480" s="3"/>
      <c r="F480" s="3"/>
      <c r="G480" s="3"/>
      <c r="H480" s="3"/>
      <c r="I480" s="3"/>
      <c r="J480" s="3"/>
      <c r="K480" s="3"/>
      <c r="L480" s="3"/>
    </row>
  </sheetData>
  <printOptions/>
  <pageMargins left="0.36" right="0.39" top="1" bottom="0.8" header="0.3" footer="0.3"/>
  <pageSetup firstPageNumber="125" useFirstPageNumber="1" fitToHeight="0" fitToWidth="0" horizontalDpi="600" verticalDpi="600" orientation="portrait" r:id="rId1"/>
  <headerFooter alignWithMargins="0">
    <oddHeader>&amp;C&amp;"Arial,Bold"&amp;11Supplement to the Statement of Vote
Counties by Assembly Districts
for US Senator</oddHeader>
    <oddFooter>&amp;C&amp;"Arial,Bold"&amp;8&amp;P</oddFooter>
  </headerFooter>
  <rowBreaks count="3" manualBreakCount="3">
    <brk id="69" max="11" man="1"/>
    <brk id="207" max="11" man="1"/>
    <brk id="3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2006-11-10T22:32:49Z</cp:lastPrinted>
  <dcterms:created xsi:type="dcterms:W3CDTF">2006-11-10T22:33:17Z</dcterms:created>
  <dcterms:modified xsi:type="dcterms:W3CDTF">2006-11-10T22:33:23Z</dcterms:modified>
  <cp:category/>
  <cp:version/>
  <cp:contentType/>
  <cp:contentStatus/>
</cp:coreProperties>
</file>