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'Sheet1'!$A$1:$L$272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<sst xmlns="http://schemas.openxmlformats.org/spreadsheetml/2006/main" count="249" uniqueCount="116">
  <si>
    <t>DEM</t>
  </si>
  <si>
    <t>REP</t>
  </si>
  <si>
    <t>AI</t>
  </si>
  <si>
    <t>GRN</t>
  </si>
  <si>
    <t>LIB</t>
  </si>
  <si>
    <t>PF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</si>
  <si>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</si>
  <si>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</si>
  <si>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</si>
  <si>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</si>
  <si>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</si>
  <si>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</si>
  <si>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</si>
  <si>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</si>
  <si>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</si>
  <si>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</si>
  <si>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</si>
  <si>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</si>
  <si>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 (2000)</t>
  </si>
  <si>
    <t>Humboldt</t>
  </si>
  <si>
    <t>Lake</t>
  </si>
  <si>
    <t>Mendocino</t>
  </si>
  <si>
    <t>Napa</t>
  </si>
  <si>
    <t>Solano</t>
  </si>
  <si>
    <t>Sonoma</t>
  </si>
  <si>
    <t>Senate District 2 (2000)</t>
  </si>
  <si>
    <t>Marin</t>
  </si>
  <si>
    <t>San Francisco</t>
  </si>
  <si>
    <t>Senate District 3 (2000)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</si>
  <si>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</si>
  <si>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</si>
  <si>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</si>
  <si>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</si>
  <si>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</si>
  <si>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</si>
  <si>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</si>
  <si>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</si>
  <si>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</si>
  <si>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</si>
  <si>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 (2000)</t>
  </si>
  <si>
    <t>San Joaquin</t>
  </si>
  <si>
    <t>Yolo</t>
  </si>
  <si>
    <t>Senate District 5 (2000)</t>
  </si>
  <si>
    <t>Senate District 6 (2000)</t>
  </si>
  <si>
    <t>Contra Costa</t>
  </si>
  <si>
    <t>Senate District 7 (2000)</t>
  </si>
  <si>
    <t>San Mateo</t>
  </si>
  <si>
    <t>Senate District 8 (2000)</t>
  </si>
  <si>
    <t>Alameda</t>
  </si>
  <si>
    <t>Senate District 9 (2000)</t>
  </si>
  <si>
    <t>Santa Clara</t>
  </si>
  <si>
    <t>Senate District 10 (2000)</t>
  </si>
  <si>
    <t>Santa Cruz</t>
  </si>
  <si>
    <t>Senate District 11 (2000)</t>
  </si>
  <si>
    <t>Madera</t>
  </si>
  <si>
    <t>Merced</t>
  </si>
  <si>
    <t>Monterey</t>
  </si>
  <si>
    <t>San Benito</t>
  </si>
  <si>
    <t>Stanislaus</t>
  </si>
  <si>
    <t>Senate District 12 (2000)</t>
  </si>
  <si>
    <t>Senate District 13 (2000)</t>
  </si>
  <si>
    <t>Fresno</t>
  </si>
  <si>
    <t>Mariposa</t>
  </si>
  <si>
    <t>Tuolumne</t>
  </si>
  <si>
    <t>Senate District 14 (2000)</t>
  </si>
  <si>
    <t>San Luis Obispo</t>
  </si>
  <si>
    <t>Santa Barbara</t>
  </si>
  <si>
    <t>Senate District 15 (2000)</t>
  </si>
  <si>
    <t>Kern</t>
  </si>
  <si>
    <t>Kings</t>
  </si>
  <si>
    <t>Tulare</t>
  </si>
  <si>
    <t>Senate District 16 (2000)</t>
  </si>
  <si>
    <t>Los Angeles</t>
  </si>
  <si>
    <t>San Bernardino</t>
  </si>
  <si>
    <t>Ventura</t>
  </si>
  <si>
    <t>Senate District 17 (2000)</t>
  </si>
  <si>
    <t>Inyo</t>
  </si>
  <si>
    <t>Senate District 18 (2000)</t>
  </si>
  <si>
    <t>Senate District 19 (2000)</t>
  </si>
  <si>
    <t>Senate District 20 (2000)</t>
  </si>
  <si>
    <t>Senate District 21 (2000)</t>
  </si>
  <si>
    <t>Senate District 22 (2000)</t>
  </si>
  <si>
    <t>Senate District 23 (2000)</t>
  </si>
  <si>
    <t>Senate District 24 (2000)</t>
  </si>
  <si>
    <t>Senate District 25 (2000)</t>
  </si>
  <si>
    <t>Senate District 26 (2000)</t>
  </si>
  <si>
    <t>Senate District 27 (2000)</t>
  </si>
  <si>
    <t>Senate District 28 (2000)</t>
  </si>
  <si>
    <t>Orange</t>
  </si>
  <si>
    <t>Senate District 29 (2000)</t>
  </si>
  <si>
    <t>Senate District 30 (2000)</t>
  </si>
  <si>
    <t>Riverside</t>
  </si>
  <si>
    <t>Senate District 31 (2000)</t>
  </si>
  <si>
    <t>Senate District 32 (2000)</t>
  </si>
  <si>
    <t>Senate District 33 (2000)</t>
  </si>
  <si>
    <t>Senate District 34 (2000)</t>
  </si>
  <si>
    <t>Senate District 35 (2000)</t>
  </si>
  <si>
    <t>San Diego</t>
  </si>
  <si>
    <t>Senate District 36 (2000)</t>
  </si>
  <si>
    <t>Senate District 37 (2000)</t>
  </si>
  <si>
    <t>Senate District 38 (2000)</t>
  </si>
  <si>
    <t>Senate District 39 (2000)</t>
  </si>
  <si>
    <t>Imperial</t>
  </si>
  <si>
    <t>Senate District 40 (2000)</t>
  </si>
  <si>
    <t>District Totals</t>
  </si>
  <si>
    <t>Percent, Total by Party</t>
  </si>
  <si>
    <t>Dianne 
Feinstein</t>
  </si>
  <si>
    <t>Martin Luther 
Church</t>
  </si>
  <si>
    <t>Colleen 
Fernald</t>
  </si>
  <si>
    <t>Richard "Dick" 
Mountjoy</t>
  </si>
  <si>
    <t>Don J. 
Grundmann</t>
  </si>
  <si>
    <t>Todd 
Chretien</t>
  </si>
  <si>
    <t>Tian 
Harter</t>
  </si>
  <si>
    <t>Kent P. 
Mesplay</t>
  </si>
  <si>
    <t>Michael S.
Metti</t>
  </si>
  <si>
    <t>Marsha 
Feinland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</si>
</sst>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showOutlineSymbols="0" zoomScaleSheetLayoutView="100" workbookViewId="0" topLeftCell="A1">
      <selection activeCell="A272" sqref="A272"/>
    </sheetView>
  </sheetViews>
  <sheetFormatPr defaultColWidth="9.140625" defaultRowHeight="12.75" customHeight="1"/>
  <cols>
    <col min="1" max="1" width="2.7109375" style="1" customWidth="1"/>
    <col min="2" max="2" width="20.8515625" style="5" customWidth="1"/>
    <col min="3" max="3" width="8.00390625" style="1" customWidth="1"/>
    <col min="4" max="4" width="7.00390625" style="1" customWidth="1"/>
    <col min="5" max="5" width="6.7109375" style="1" customWidth="1"/>
    <col min="6" max="6" width="8.00390625" style="1" customWidth="1"/>
    <col min="7" max="7" width="10.00390625" style="1" customWidth="1"/>
    <col min="8" max="8" width="7.57421875" style="1" customWidth="1"/>
    <col min="9" max="9" width="5.57421875" style="1" customWidth="1"/>
    <col min="10" max="10" width="7.57421875" style="1" customWidth="1"/>
    <col min="11" max="11" width="8.57421875" style="1" customWidth="1"/>
    <col min="12" max="12" width="7.28125" style="1" customWidth="1"/>
    <col min="13" max="16384" width="7.7109375" style="1" customWidth="1"/>
  </cols>
  <sheetData>
    <row r="1" spans="3:12" s="12" customFormat="1" ht="45">
      <c r="C1" s="12" t="s">
        <v>106</v>
      </c>
      <c r="D1" s="12" t="s">
        <v>107</v>
      </c>
      <c r="E1" s="12" t="s">
        <v>108</v>
      </c>
      <c r="F1" s="12" t="s">
        <v>109</v>
      </c>
      <c r="G1" s="12" t="s">
        <v>110</v>
      </c>
      <c r="H1" s="12" t="s">
        <v>111</v>
      </c>
      <c r="I1" s="12" t="s">
        <v>112</v>
      </c>
      <c r="J1" s="12" t="s">
        <v>113</v>
      </c>
      <c r="K1" s="12" t="s">
        <v>114</v>
      </c>
      <c r="L1" s="12" t="s">
        <v>115</v>
      </c>
    </row>
    <row r="2" spans="3:12" s="11" customFormat="1" ht="9">
      <c r="C2" s="11" t="s">
        <v>0</v>
      </c>
      <c r="D2" s="11" t="s">
        <v>0</v>
      </c>
      <c r="E2" s="11" t="s">
        <v>0</v>
      </c>
      <c r="F2" s="11" t="s">
        <v>1</v>
      </c>
      <c r="G2" s="11" t="s">
        <v>2</v>
      </c>
      <c r="H2" s="11" t="s">
        <v>3</v>
      </c>
      <c r="I2" s="11" t="s">
        <v>3</v>
      </c>
      <c r="J2" s="11" t="s">
        <v>3</v>
      </c>
      <c r="K2" s="11" t="s">
        <v>4</v>
      </c>
      <c r="L2" s="11" t="s">
        <v>5</v>
      </c>
    </row>
    <row r="3" spans="1:2" s="10" customFormat="1" ht="9.75" customHeight="1">
      <c r="A3" s="8" t="s">
        <v>18</v>
      </c>
      <c r="B3" s="9"/>
    </row>
    <row r="4" spans="2:12" ht="9.75" customHeight="1">
      <c r="B4" s="5" t="s">
        <v>6</v>
      </c>
      <c r="C4" s="2">
        <v>149</v>
      </c>
      <c r="D4" s="2">
        <v>7</v>
      </c>
      <c r="E4" s="2">
        <v>14</v>
      </c>
      <c r="F4" s="2">
        <v>135</v>
      </c>
      <c r="G4" s="2">
        <v>1</v>
      </c>
      <c r="H4" s="2">
        <v>3</v>
      </c>
      <c r="I4" s="2">
        <v>4</v>
      </c>
      <c r="J4" s="2">
        <v>0</v>
      </c>
      <c r="K4" s="2">
        <v>1</v>
      </c>
      <c r="L4" s="2">
        <v>1</v>
      </c>
    </row>
    <row r="5" spans="2:12" ht="9.75" customHeight="1">
      <c r="B5" s="5" t="s">
        <v>7</v>
      </c>
      <c r="C5" s="2">
        <v>3693</v>
      </c>
      <c r="D5" s="2">
        <v>312</v>
      </c>
      <c r="E5" s="2">
        <v>426</v>
      </c>
      <c r="F5" s="2">
        <v>4262</v>
      </c>
      <c r="G5" s="2">
        <v>93</v>
      </c>
      <c r="H5" s="2">
        <v>23</v>
      </c>
      <c r="I5" s="2">
        <v>13</v>
      </c>
      <c r="J5" s="2">
        <v>3</v>
      </c>
      <c r="K5" s="2">
        <v>47</v>
      </c>
      <c r="L5" s="2">
        <v>4</v>
      </c>
    </row>
    <row r="6" spans="2:12" ht="9.75" customHeight="1">
      <c r="B6" s="5" t="s">
        <v>8</v>
      </c>
      <c r="C6" s="2">
        <v>3939</v>
      </c>
      <c r="D6" s="2">
        <v>337</v>
      </c>
      <c r="E6" s="2">
        <v>546</v>
      </c>
      <c r="F6" s="2">
        <v>4607</v>
      </c>
      <c r="G6" s="2">
        <v>95</v>
      </c>
      <c r="H6" s="2">
        <v>33</v>
      </c>
      <c r="I6" s="2">
        <v>38</v>
      </c>
      <c r="J6" s="2">
        <v>10</v>
      </c>
      <c r="K6" s="2">
        <v>94</v>
      </c>
      <c r="L6" s="2">
        <v>13</v>
      </c>
    </row>
    <row r="7" spans="2:12" ht="9.75" customHeight="1">
      <c r="B7" s="5" t="s">
        <v>9</v>
      </c>
      <c r="C7" s="2">
        <v>12169</v>
      </c>
      <c r="D7" s="2">
        <v>922</v>
      </c>
      <c r="E7" s="2">
        <v>1419</v>
      </c>
      <c r="F7" s="2">
        <v>16684</v>
      </c>
      <c r="G7" s="2">
        <v>309</v>
      </c>
      <c r="H7" s="2">
        <v>91</v>
      </c>
      <c r="I7" s="2">
        <v>112</v>
      </c>
      <c r="J7" s="2">
        <v>35</v>
      </c>
      <c r="K7" s="2">
        <v>157</v>
      </c>
      <c r="L7" s="2">
        <v>20</v>
      </c>
    </row>
    <row r="8" spans="2:12" ht="9.75" customHeight="1">
      <c r="B8" s="5" t="s">
        <v>10</v>
      </c>
      <c r="C8" s="2">
        <v>1622</v>
      </c>
      <c r="D8" s="2">
        <v>265</v>
      </c>
      <c r="E8" s="2">
        <v>324</v>
      </c>
      <c r="F8" s="2">
        <v>2706</v>
      </c>
      <c r="G8" s="2">
        <v>103</v>
      </c>
      <c r="H8" s="2">
        <v>2</v>
      </c>
      <c r="I8" s="2">
        <v>8</v>
      </c>
      <c r="J8" s="2">
        <v>3</v>
      </c>
      <c r="K8" s="2">
        <v>22</v>
      </c>
      <c r="L8" s="2">
        <v>3</v>
      </c>
    </row>
    <row r="9" spans="2:12" ht="9.75" customHeight="1">
      <c r="B9" s="5" t="s">
        <v>11</v>
      </c>
      <c r="C9" s="2">
        <v>767</v>
      </c>
      <c r="D9" s="2">
        <v>117</v>
      </c>
      <c r="E9" s="2">
        <v>193</v>
      </c>
      <c r="F9" s="2">
        <v>1551</v>
      </c>
      <c r="G9" s="2">
        <v>59</v>
      </c>
      <c r="H9" s="2">
        <v>5</v>
      </c>
      <c r="I9" s="2">
        <v>2</v>
      </c>
      <c r="J9" s="2">
        <v>3</v>
      </c>
      <c r="K9" s="2">
        <v>20</v>
      </c>
      <c r="L9" s="2">
        <v>3</v>
      </c>
    </row>
    <row r="10" spans="2:12" ht="9.75" customHeight="1">
      <c r="B10" s="5" t="s">
        <v>12</v>
      </c>
      <c r="C10" s="2">
        <v>937</v>
      </c>
      <c r="D10" s="2">
        <v>59</v>
      </c>
      <c r="E10" s="2">
        <v>108</v>
      </c>
      <c r="F10" s="2">
        <v>1130</v>
      </c>
      <c r="G10" s="2">
        <v>27</v>
      </c>
      <c r="H10" s="2">
        <v>6</v>
      </c>
      <c r="I10" s="2">
        <v>12</v>
      </c>
      <c r="J10" s="2">
        <v>5</v>
      </c>
      <c r="K10" s="2">
        <v>18</v>
      </c>
      <c r="L10" s="2">
        <v>3</v>
      </c>
    </row>
    <row r="11" spans="2:12" ht="9.75" customHeight="1">
      <c r="B11" s="5" t="s">
        <v>13</v>
      </c>
      <c r="C11" s="2">
        <v>1380</v>
      </c>
      <c r="D11" s="2">
        <v>68</v>
      </c>
      <c r="E11" s="2">
        <v>114</v>
      </c>
      <c r="F11" s="2">
        <v>1181</v>
      </c>
      <c r="G11" s="2">
        <v>38</v>
      </c>
      <c r="H11" s="2">
        <v>8</v>
      </c>
      <c r="I11" s="2">
        <v>19</v>
      </c>
      <c r="J11" s="2">
        <v>13</v>
      </c>
      <c r="K11" s="2">
        <v>18</v>
      </c>
      <c r="L11" s="2">
        <v>1</v>
      </c>
    </row>
    <row r="12" spans="2:12" ht="9.75" customHeight="1">
      <c r="B12" s="5" t="s">
        <v>14</v>
      </c>
      <c r="C12" s="2">
        <v>14227</v>
      </c>
      <c r="D12" s="2">
        <v>851</v>
      </c>
      <c r="E12" s="2">
        <v>1435</v>
      </c>
      <c r="F12" s="2">
        <v>20558</v>
      </c>
      <c r="G12" s="2">
        <v>278</v>
      </c>
      <c r="H12" s="2">
        <v>61</v>
      </c>
      <c r="I12" s="2">
        <v>76</v>
      </c>
      <c r="J12" s="2">
        <v>36</v>
      </c>
      <c r="K12" s="2">
        <v>137</v>
      </c>
      <c r="L12" s="2">
        <v>20</v>
      </c>
    </row>
    <row r="13" spans="2:12" ht="9.75" customHeight="1">
      <c r="B13" s="5" t="s">
        <v>15</v>
      </c>
      <c r="C13" s="2">
        <v>2000</v>
      </c>
      <c r="D13" s="2">
        <v>182</v>
      </c>
      <c r="E13" s="2">
        <v>251</v>
      </c>
      <c r="F13" s="2">
        <v>2663</v>
      </c>
      <c r="G13" s="2">
        <v>78</v>
      </c>
      <c r="H13" s="2">
        <v>7</v>
      </c>
      <c r="I13" s="2">
        <v>12</v>
      </c>
      <c r="J13" s="2">
        <v>6</v>
      </c>
      <c r="K13" s="2">
        <v>32</v>
      </c>
      <c r="L13" s="2">
        <v>7</v>
      </c>
    </row>
    <row r="14" spans="2:12" ht="9.75" customHeight="1">
      <c r="B14" s="5" t="s">
        <v>16</v>
      </c>
      <c r="C14" s="2">
        <v>27173</v>
      </c>
      <c r="D14" s="2">
        <v>1623</v>
      </c>
      <c r="E14" s="2">
        <v>2627</v>
      </c>
      <c r="F14" s="2">
        <v>29290</v>
      </c>
      <c r="G14" s="2">
        <v>397</v>
      </c>
      <c r="H14" s="2">
        <v>59</v>
      </c>
      <c r="I14" s="2">
        <v>110</v>
      </c>
      <c r="J14" s="2">
        <v>45</v>
      </c>
      <c r="K14" s="2">
        <v>227</v>
      </c>
      <c r="L14" s="2">
        <v>43</v>
      </c>
    </row>
    <row r="15" spans="2:12" ht="9.75" customHeight="1">
      <c r="B15" s="5" t="s">
        <v>17</v>
      </c>
      <c r="C15" s="2">
        <v>341</v>
      </c>
      <c r="D15" s="2">
        <v>49</v>
      </c>
      <c r="E15" s="2">
        <v>68</v>
      </c>
      <c r="F15" s="2">
        <v>499</v>
      </c>
      <c r="G15" s="2">
        <v>27</v>
      </c>
      <c r="H15" s="2">
        <v>5</v>
      </c>
      <c r="I15" s="2">
        <v>4</v>
      </c>
      <c r="J15" s="2">
        <v>2</v>
      </c>
      <c r="K15" s="2">
        <v>16</v>
      </c>
      <c r="L15" s="2">
        <v>1</v>
      </c>
    </row>
    <row r="16" spans="1:12" ht="9.75" customHeight="1">
      <c r="A16" s="3" t="s">
        <v>104</v>
      </c>
      <c r="C16" s="2">
        <v>68397</v>
      </c>
      <c r="D16" s="2">
        <v>4792</v>
      </c>
      <c r="E16" s="2">
        <v>7525</v>
      </c>
      <c r="F16" s="2">
        <v>85266</v>
      </c>
      <c r="G16" s="2">
        <v>1505</v>
      </c>
      <c r="H16" s="2">
        <v>303</v>
      </c>
      <c r="I16" s="2">
        <v>410</v>
      </c>
      <c r="J16" s="2">
        <v>161</v>
      </c>
      <c r="K16" s="2">
        <v>789</v>
      </c>
      <c r="L16" s="2">
        <v>119</v>
      </c>
    </row>
    <row r="17" spans="2:12" s="4" customFormat="1" ht="9.75" customHeight="1">
      <c r="B17" s="6" t="s">
        <v>105</v>
      </c>
      <c r="C17" s="4">
        <f>C16/80714</f>
        <v>0.8473994598210967</v>
      </c>
      <c r="D17" s="4">
        <f>D16/80714</f>
        <v>0.059370121664147485</v>
      </c>
      <c r="E17" s="4">
        <f>E16/80714</f>
        <v>0.0932304185147558</v>
      </c>
      <c r="F17" s="4">
        <f>F16/85266</f>
        <v>1</v>
      </c>
      <c r="G17" s="4">
        <f>G16/1505</f>
        <v>1</v>
      </c>
      <c r="H17" s="4">
        <f>H16/874</f>
        <v>0.34668192219679633</v>
      </c>
      <c r="I17" s="4">
        <f>I16/874</f>
        <v>0.4691075514874142</v>
      </c>
      <c r="J17" s="4">
        <f>J16/874</f>
        <v>0.18421052631578946</v>
      </c>
      <c r="K17" s="4">
        <f>K16/789</f>
        <v>1</v>
      </c>
      <c r="L17" s="4">
        <f>L16/119</f>
        <v>1</v>
      </c>
    </row>
    <row r="18" spans="2:12" ht="4.5" customHeight="1"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9.75" customHeight="1">
      <c r="A19" s="3" t="s">
        <v>25</v>
      </c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9.75" customHeight="1">
      <c r="B20" s="5" t="s">
        <v>19</v>
      </c>
      <c r="C20" s="2">
        <v>15282</v>
      </c>
      <c r="D20" s="2">
        <v>1083</v>
      </c>
      <c r="E20" s="2">
        <v>2242</v>
      </c>
      <c r="F20" s="2">
        <v>9525</v>
      </c>
      <c r="G20" s="2">
        <v>316</v>
      </c>
      <c r="H20" s="2">
        <v>507</v>
      </c>
      <c r="I20" s="2">
        <v>639</v>
      </c>
      <c r="J20" s="2">
        <v>125</v>
      </c>
      <c r="K20" s="2">
        <v>242</v>
      </c>
      <c r="L20" s="2">
        <v>57</v>
      </c>
    </row>
    <row r="21" spans="2:12" ht="9.75" customHeight="1">
      <c r="B21" s="5" t="s">
        <v>20</v>
      </c>
      <c r="C21" s="2">
        <v>5526</v>
      </c>
      <c r="D21" s="2">
        <v>414</v>
      </c>
      <c r="E21" s="2">
        <v>673</v>
      </c>
      <c r="F21" s="2">
        <v>4088</v>
      </c>
      <c r="G21" s="2">
        <v>173</v>
      </c>
      <c r="H21" s="2">
        <v>55</v>
      </c>
      <c r="I21" s="2">
        <v>53</v>
      </c>
      <c r="J21" s="2">
        <v>13</v>
      </c>
      <c r="K21" s="2">
        <v>51</v>
      </c>
      <c r="L21" s="2">
        <v>8</v>
      </c>
    </row>
    <row r="22" spans="2:12" ht="9.75" customHeight="1">
      <c r="B22" s="5" t="s">
        <v>21</v>
      </c>
      <c r="C22" s="2">
        <v>10224</v>
      </c>
      <c r="D22" s="2">
        <v>601</v>
      </c>
      <c r="E22" s="2">
        <v>1274</v>
      </c>
      <c r="F22" s="2">
        <v>4937</v>
      </c>
      <c r="G22" s="2">
        <v>194</v>
      </c>
      <c r="H22" s="2">
        <v>244</v>
      </c>
      <c r="I22" s="2">
        <v>272</v>
      </c>
      <c r="J22" s="2">
        <v>59</v>
      </c>
      <c r="K22" s="2">
        <v>120</v>
      </c>
      <c r="L22" s="2">
        <v>43</v>
      </c>
    </row>
    <row r="23" spans="2:12" ht="9.75" customHeight="1">
      <c r="B23" s="5" t="s">
        <v>22</v>
      </c>
      <c r="C23" s="2">
        <v>14115</v>
      </c>
      <c r="D23" s="2">
        <v>778</v>
      </c>
      <c r="E23" s="2">
        <v>1022</v>
      </c>
      <c r="F23" s="2">
        <v>8637</v>
      </c>
      <c r="G23" s="2">
        <v>246</v>
      </c>
      <c r="H23" s="2">
        <v>110</v>
      </c>
      <c r="I23" s="2">
        <v>94</v>
      </c>
      <c r="J23" s="2">
        <v>37</v>
      </c>
      <c r="K23" s="2">
        <v>115</v>
      </c>
      <c r="L23" s="2">
        <v>12</v>
      </c>
    </row>
    <row r="24" spans="2:12" ht="9.75" customHeight="1">
      <c r="B24" s="5" t="s">
        <v>23</v>
      </c>
      <c r="C24" s="2">
        <v>15682</v>
      </c>
      <c r="D24" s="2">
        <v>773</v>
      </c>
      <c r="E24" s="2">
        <v>1278</v>
      </c>
      <c r="F24" s="2">
        <v>6161</v>
      </c>
      <c r="G24" s="2">
        <v>161</v>
      </c>
      <c r="H24" s="2">
        <v>49</v>
      </c>
      <c r="I24" s="2">
        <v>43</v>
      </c>
      <c r="J24" s="2">
        <v>22</v>
      </c>
      <c r="K24" s="2">
        <v>98</v>
      </c>
      <c r="L24" s="2">
        <v>20</v>
      </c>
    </row>
    <row r="25" spans="2:12" ht="9.75" customHeight="1">
      <c r="B25" s="5" t="s">
        <v>24</v>
      </c>
      <c r="C25" s="2">
        <v>41068</v>
      </c>
      <c r="D25" s="2">
        <v>1818</v>
      </c>
      <c r="E25" s="2">
        <v>3795</v>
      </c>
      <c r="F25" s="2">
        <v>17138</v>
      </c>
      <c r="G25" s="2">
        <v>746</v>
      </c>
      <c r="H25" s="2">
        <v>435</v>
      </c>
      <c r="I25" s="2">
        <v>528</v>
      </c>
      <c r="J25" s="2">
        <v>128</v>
      </c>
      <c r="K25" s="2">
        <v>364</v>
      </c>
      <c r="L25" s="2">
        <v>109</v>
      </c>
    </row>
    <row r="26" spans="1:12" ht="9.75" customHeight="1">
      <c r="A26" s="3" t="s">
        <v>104</v>
      </c>
      <c r="C26" s="2">
        <v>101897</v>
      </c>
      <c r="D26" s="2">
        <v>5467</v>
      </c>
      <c r="E26" s="2">
        <v>10284</v>
      </c>
      <c r="F26" s="2">
        <v>50486</v>
      </c>
      <c r="G26" s="2">
        <v>1836</v>
      </c>
      <c r="H26" s="2">
        <v>1400</v>
      </c>
      <c r="I26" s="2">
        <v>1629</v>
      </c>
      <c r="J26" s="2">
        <v>384</v>
      </c>
      <c r="K26" s="2">
        <v>990</v>
      </c>
      <c r="L26" s="2">
        <v>249</v>
      </c>
    </row>
    <row r="27" spans="2:12" s="4" customFormat="1" ht="9.75" customHeight="1">
      <c r="B27" s="6" t="s">
        <v>105</v>
      </c>
      <c r="C27" s="4">
        <f>C26/117648</f>
        <v>0.8661175710594315</v>
      </c>
      <c r="D27" s="4">
        <f>D26/117648</f>
        <v>0.04646912824697402</v>
      </c>
      <c r="E27" s="4">
        <f>E26/117648</f>
        <v>0.08741330069359445</v>
      </c>
      <c r="F27" s="4">
        <f>F26/50486</f>
        <v>1</v>
      </c>
      <c r="G27" s="4">
        <f>G26/1836</f>
        <v>1</v>
      </c>
      <c r="H27" s="4">
        <f>H26/3413</f>
        <v>0.4101963082332259</v>
      </c>
      <c r="I27" s="4">
        <f>I26/3413</f>
        <v>0.47729270436566074</v>
      </c>
      <c r="J27" s="4">
        <f>J26/3413</f>
        <v>0.11251098740111339</v>
      </c>
      <c r="K27" s="4">
        <f>K26/990</f>
        <v>1</v>
      </c>
      <c r="L27" s="4">
        <f>L26/249</f>
        <v>1</v>
      </c>
    </row>
    <row r="28" spans="2:12" ht="4.5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9.75" customHeight="1">
      <c r="A29" s="3" t="s">
        <v>28</v>
      </c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9.75" customHeight="1">
      <c r="B30" s="5" t="s">
        <v>26</v>
      </c>
      <c r="C30" s="2">
        <v>41459</v>
      </c>
      <c r="D30" s="2">
        <v>924</v>
      </c>
      <c r="E30" s="2">
        <v>2311</v>
      </c>
      <c r="F30" s="2">
        <v>11804</v>
      </c>
      <c r="G30" s="2">
        <v>298</v>
      </c>
      <c r="H30" s="2">
        <v>294</v>
      </c>
      <c r="I30" s="2">
        <v>241</v>
      </c>
      <c r="J30" s="2">
        <v>118</v>
      </c>
      <c r="K30" s="2">
        <v>213</v>
      </c>
      <c r="L30" s="2">
        <v>50</v>
      </c>
    </row>
    <row r="31" spans="2:12" ht="9.75" customHeight="1">
      <c r="B31" s="5" t="s">
        <v>27</v>
      </c>
      <c r="C31" s="2">
        <v>49685</v>
      </c>
      <c r="D31" s="2">
        <v>1600</v>
      </c>
      <c r="E31" s="2">
        <v>3617</v>
      </c>
      <c r="F31" s="2">
        <v>5410</v>
      </c>
      <c r="G31" s="2">
        <v>399</v>
      </c>
      <c r="H31" s="2">
        <v>1288</v>
      </c>
      <c r="I31" s="2">
        <v>465</v>
      </c>
      <c r="J31" s="2">
        <v>196</v>
      </c>
      <c r="K31" s="2">
        <v>286</v>
      </c>
      <c r="L31" s="2">
        <v>159</v>
      </c>
    </row>
    <row r="32" spans="2:12" ht="9.75" customHeight="1">
      <c r="B32" s="5" t="s">
        <v>24</v>
      </c>
      <c r="C32" s="2">
        <v>22904</v>
      </c>
      <c r="D32" s="2">
        <v>1189</v>
      </c>
      <c r="E32" s="2">
        <v>2091</v>
      </c>
      <c r="F32" s="2">
        <v>9653</v>
      </c>
      <c r="G32" s="2">
        <v>409</v>
      </c>
      <c r="H32" s="2">
        <v>193</v>
      </c>
      <c r="I32" s="2">
        <v>223</v>
      </c>
      <c r="J32" s="2">
        <v>93</v>
      </c>
      <c r="K32" s="2">
        <v>174</v>
      </c>
      <c r="L32" s="2">
        <v>49</v>
      </c>
    </row>
    <row r="33" spans="1:12" ht="9.75" customHeight="1">
      <c r="A33" s="3" t="s">
        <v>104</v>
      </c>
      <c r="C33" s="2">
        <v>114048</v>
      </c>
      <c r="D33" s="2">
        <v>3713</v>
      </c>
      <c r="E33" s="2">
        <v>8019</v>
      </c>
      <c r="F33" s="2">
        <v>26867</v>
      </c>
      <c r="G33" s="2">
        <v>1106</v>
      </c>
      <c r="H33" s="2">
        <v>1775</v>
      </c>
      <c r="I33" s="2">
        <v>929</v>
      </c>
      <c r="J33" s="2">
        <v>407</v>
      </c>
      <c r="K33" s="2">
        <v>673</v>
      </c>
      <c r="L33" s="2">
        <v>258</v>
      </c>
    </row>
    <row r="34" spans="2:12" s="4" customFormat="1" ht="9.75" customHeight="1">
      <c r="B34" s="6" t="s">
        <v>105</v>
      </c>
      <c r="C34" s="4">
        <f>C33/125780</f>
        <v>0.9067260295754492</v>
      </c>
      <c r="D34" s="4">
        <f>D33/125780</f>
        <v>0.029519796470027032</v>
      </c>
      <c r="E34" s="4">
        <f>E33/125780</f>
        <v>0.06375417395452378</v>
      </c>
      <c r="F34" s="4">
        <f>F33/26867</f>
        <v>1</v>
      </c>
      <c r="G34" s="4">
        <f>G33/1106</f>
        <v>1</v>
      </c>
      <c r="H34" s="4">
        <f>H33/3111</f>
        <v>0.5705560912889746</v>
      </c>
      <c r="I34" s="4">
        <f>I33/3111</f>
        <v>0.2986178077788492</v>
      </c>
      <c r="J34" s="4">
        <f>J33/3111</f>
        <v>0.13082610093217614</v>
      </c>
      <c r="K34" s="4">
        <f>K33/673</f>
        <v>1</v>
      </c>
      <c r="L34" s="4">
        <f>L33/258</f>
        <v>1</v>
      </c>
    </row>
    <row r="35" spans="2:12" ht="4.5" customHeight="1"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9.75" customHeight="1">
      <c r="A36" s="3" t="s">
        <v>39</v>
      </c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9.75" customHeight="1">
      <c r="B37" s="5" t="s">
        <v>29</v>
      </c>
      <c r="C37" s="2">
        <v>14899</v>
      </c>
      <c r="D37" s="2">
        <v>1025</v>
      </c>
      <c r="E37" s="2">
        <v>1816</v>
      </c>
      <c r="F37" s="2">
        <v>17606</v>
      </c>
      <c r="G37" s="2">
        <v>328</v>
      </c>
      <c r="H37" s="2">
        <v>141</v>
      </c>
      <c r="I37" s="2">
        <v>195</v>
      </c>
      <c r="J37" s="2">
        <v>80</v>
      </c>
      <c r="K37" s="2">
        <v>189</v>
      </c>
      <c r="L37" s="2">
        <v>37</v>
      </c>
    </row>
    <row r="38" spans="2:12" ht="9.75" customHeight="1">
      <c r="B38" s="5" t="s">
        <v>30</v>
      </c>
      <c r="C38" s="2">
        <v>1125</v>
      </c>
      <c r="D38" s="2">
        <v>104</v>
      </c>
      <c r="E38" s="2">
        <v>175</v>
      </c>
      <c r="F38" s="2">
        <v>1697</v>
      </c>
      <c r="G38" s="2">
        <v>28</v>
      </c>
      <c r="H38" s="2">
        <v>3</v>
      </c>
      <c r="I38" s="2">
        <v>4</v>
      </c>
      <c r="J38" s="2">
        <v>3</v>
      </c>
      <c r="K38" s="2">
        <v>9</v>
      </c>
      <c r="L38" s="2">
        <v>5</v>
      </c>
    </row>
    <row r="39" spans="2:12" ht="9.75" customHeight="1">
      <c r="B39" s="5" t="s">
        <v>31</v>
      </c>
      <c r="C39" s="2">
        <v>1984</v>
      </c>
      <c r="D39" s="2">
        <v>188</v>
      </c>
      <c r="E39" s="2">
        <v>249</v>
      </c>
      <c r="F39" s="2">
        <v>2129</v>
      </c>
      <c r="G39" s="2">
        <v>67</v>
      </c>
      <c r="H39" s="2">
        <v>14</v>
      </c>
      <c r="I39" s="2">
        <v>15</v>
      </c>
      <c r="J39" s="2">
        <v>3</v>
      </c>
      <c r="K39" s="2">
        <v>31</v>
      </c>
      <c r="L39" s="2">
        <v>3</v>
      </c>
    </row>
    <row r="40" spans="2:12" ht="9.75" customHeight="1">
      <c r="B40" s="5" t="s">
        <v>32</v>
      </c>
      <c r="C40" s="2">
        <v>1622</v>
      </c>
      <c r="D40" s="2">
        <v>181</v>
      </c>
      <c r="E40" s="2">
        <v>387</v>
      </c>
      <c r="F40" s="2">
        <v>2887</v>
      </c>
      <c r="G40" s="2">
        <v>81</v>
      </c>
      <c r="H40" s="2">
        <v>9</v>
      </c>
      <c r="I40" s="2">
        <v>4</v>
      </c>
      <c r="J40" s="2">
        <v>3</v>
      </c>
      <c r="K40" s="2">
        <v>16</v>
      </c>
      <c r="L40" s="2">
        <v>4</v>
      </c>
    </row>
    <row r="41" spans="2:12" ht="9.75" customHeight="1">
      <c r="B41" s="5" t="s">
        <v>13</v>
      </c>
      <c r="C41" s="2">
        <v>8031</v>
      </c>
      <c r="D41" s="2">
        <v>406</v>
      </c>
      <c r="E41" s="2">
        <v>880</v>
      </c>
      <c r="F41" s="2">
        <v>9609</v>
      </c>
      <c r="G41" s="2">
        <v>170</v>
      </c>
      <c r="H41" s="2">
        <v>129</v>
      </c>
      <c r="I41" s="2">
        <v>138</v>
      </c>
      <c r="J41" s="2">
        <v>48</v>
      </c>
      <c r="K41" s="2">
        <v>103</v>
      </c>
      <c r="L41" s="2">
        <v>11</v>
      </c>
    </row>
    <row r="42" spans="2:12" ht="9.75" customHeight="1">
      <c r="B42" s="5" t="s">
        <v>14</v>
      </c>
      <c r="C42" s="2">
        <v>8863</v>
      </c>
      <c r="D42" s="2">
        <v>551</v>
      </c>
      <c r="E42" s="2">
        <v>835</v>
      </c>
      <c r="F42" s="2">
        <v>14293</v>
      </c>
      <c r="G42" s="2">
        <v>139</v>
      </c>
      <c r="H42" s="2">
        <v>40</v>
      </c>
      <c r="I42" s="2">
        <v>26</v>
      </c>
      <c r="J42" s="2">
        <v>10</v>
      </c>
      <c r="K42" s="2">
        <v>84</v>
      </c>
      <c r="L42" s="2">
        <v>9</v>
      </c>
    </row>
    <row r="43" spans="2:12" ht="9.75" customHeight="1">
      <c r="B43" s="5" t="s">
        <v>33</v>
      </c>
      <c r="C43" s="2">
        <v>10702</v>
      </c>
      <c r="D43" s="2">
        <v>1103</v>
      </c>
      <c r="E43" s="2">
        <v>2100</v>
      </c>
      <c r="F43" s="2">
        <v>17226</v>
      </c>
      <c r="G43" s="2">
        <v>447</v>
      </c>
      <c r="H43" s="2">
        <v>39</v>
      </c>
      <c r="I43" s="2">
        <v>52</v>
      </c>
      <c r="J43" s="2">
        <v>20</v>
      </c>
      <c r="K43" s="2">
        <v>144</v>
      </c>
      <c r="L43" s="2">
        <v>22</v>
      </c>
    </row>
    <row r="44" spans="2:12" ht="9.75" customHeight="1">
      <c r="B44" s="5" t="s">
        <v>34</v>
      </c>
      <c r="C44" s="2">
        <v>3481</v>
      </c>
      <c r="D44" s="2">
        <v>406</v>
      </c>
      <c r="E44" s="2">
        <v>776</v>
      </c>
      <c r="F44" s="2">
        <v>5033</v>
      </c>
      <c r="G44" s="2">
        <v>130</v>
      </c>
      <c r="H44" s="2">
        <v>23</v>
      </c>
      <c r="I44" s="2">
        <v>21</v>
      </c>
      <c r="J44" s="2">
        <v>10</v>
      </c>
      <c r="K44" s="2">
        <v>74</v>
      </c>
      <c r="L44" s="2">
        <v>8</v>
      </c>
    </row>
    <row r="45" spans="2:12" ht="9.75" customHeight="1">
      <c r="B45" s="5" t="s">
        <v>35</v>
      </c>
      <c r="C45" s="2">
        <v>3784</v>
      </c>
      <c r="D45" s="2">
        <v>358</v>
      </c>
      <c r="E45" s="2">
        <v>618</v>
      </c>
      <c r="F45" s="2">
        <v>6887</v>
      </c>
      <c r="G45" s="2">
        <v>93</v>
      </c>
      <c r="H45" s="2">
        <v>5</v>
      </c>
      <c r="I45" s="2">
        <v>11</v>
      </c>
      <c r="J45" s="2">
        <v>10</v>
      </c>
      <c r="K45" s="2">
        <v>44</v>
      </c>
      <c r="L45" s="2">
        <v>7</v>
      </c>
    </row>
    <row r="46" spans="2:12" ht="9.75" customHeight="1">
      <c r="B46" s="5" t="s">
        <v>36</v>
      </c>
      <c r="C46" s="2">
        <v>3620</v>
      </c>
      <c r="D46" s="2">
        <v>445</v>
      </c>
      <c r="E46" s="2">
        <v>806</v>
      </c>
      <c r="F46" s="2">
        <v>5539</v>
      </c>
      <c r="G46" s="2">
        <v>203</v>
      </c>
      <c r="H46" s="2">
        <v>7</v>
      </c>
      <c r="I46" s="2">
        <v>13</v>
      </c>
      <c r="J46" s="2">
        <v>1</v>
      </c>
      <c r="K46" s="2">
        <v>54</v>
      </c>
      <c r="L46" s="2">
        <v>17</v>
      </c>
    </row>
    <row r="47" spans="2:12" ht="9.75" customHeight="1">
      <c r="B47" s="5" t="s">
        <v>37</v>
      </c>
      <c r="C47" s="2">
        <v>1400</v>
      </c>
      <c r="D47" s="2">
        <v>164</v>
      </c>
      <c r="E47" s="2">
        <v>273</v>
      </c>
      <c r="F47" s="2">
        <v>1464</v>
      </c>
      <c r="G47" s="2">
        <v>64</v>
      </c>
      <c r="H47" s="2">
        <v>16</v>
      </c>
      <c r="I47" s="2">
        <v>23</v>
      </c>
      <c r="J47" s="2">
        <v>3</v>
      </c>
      <c r="K47" s="2">
        <v>31</v>
      </c>
      <c r="L47" s="2">
        <v>7</v>
      </c>
    </row>
    <row r="48" spans="2:12" ht="9.75" customHeight="1">
      <c r="B48" s="5" t="s">
        <v>38</v>
      </c>
      <c r="C48" s="2">
        <v>2878</v>
      </c>
      <c r="D48" s="2">
        <v>352</v>
      </c>
      <c r="E48" s="2">
        <v>413</v>
      </c>
      <c r="F48" s="2">
        <v>4187</v>
      </c>
      <c r="G48" s="2">
        <v>136</v>
      </c>
      <c r="H48" s="2">
        <v>10</v>
      </c>
      <c r="I48" s="2">
        <v>17</v>
      </c>
      <c r="J48" s="2">
        <v>11</v>
      </c>
      <c r="K48" s="2">
        <v>48</v>
      </c>
      <c r="L48" s="2">
        <v>7</v>
      </c>
    </row>
    <row r="49" spans="1:12" ht="9.75" customHeight="1">
      <c r="A49" s="3" t="s">
        <v>104</v>
      </c>
      <c r="C49" s="2">
        <v>62389</v>
      </c>
      <c r="D49" s="2">
        <v>5283</v>
      </c>
      <c r="E49" s="2">
        <v>9328</v>
      </c>
      <c r="F49" s="2">
        <v>88557</v>
      </c>
      <c r="G49" s="2">
        <v>1886</v>
      </c>
      <c r="H49" s="2">
        <v>436</v>
      </c>
      <c r="I49" s="2">
        <v>519</v>
      </c>
      <c r="J49" s="2">
        <v>202</v>
      </c>
      <c r="K49" s="2">
        <v>827</v>
      </c>
      <c r="L49" s="2">
        <v>137</v>
      </c>
    </row>
    <row r="50" spans="2:12" s="4" customFormat="1" ht="9.75" customHeight="1">
      <c r="B50" s="6" t="s">
        <v>105</v>
      </c>
      <c r="C50" s="4">
        <f>C49/77000</f>
        <v>0.8102467532467532</v>
      </c>
      <c r="D50" s="4">
        <f>D49/77000</f>
        <v>0.06861038961038961</v>
      </c>
      <c r="E50" s="4">
        <f>E49/77000</f>
        <v>0.12114285714285715</v>
      </c>
      <c r="F50" s="4">
        <f>F49/88557</f>
        <v>1</v>
      </c>
      <c r="G50" s="4">
        <f>G49/1886</f>
        <v>1</v>
      </c>
      <c r="H50" s="4">
        <f>H49/1157</f>
        <v>0.37683664649956783</v>
      </c>
      <c r="I50" s="4">
        <f>I49/1157</f>
        <v>0.44857389801210024</v>
      </c>
      <c r="J50" s="4">
        <f>J49/1157</f>
        <v>0.17458945548833188</v>
      </c>
      <c r="K50" s="4">
        <f>K49/827</f>
        <v>1</v>
      </c>
      <c r="L50" s="4">
        <f>L49/137</f>
        <v>1</v>
      </c>
    </row>
    <row r="51" spans="2:12" ht="4.5" customHeight="1"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9.75" customHeight="1">
      <c r="A52" s="3" t="s">
        <v>42</v>
      </c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9.75" customHeight="1">
      <c r="B53" s="5" t="s">
        <v>16</v>
      </c>
      <c r="C53" s="2">
        <v>3548</v>
      </c>
      <c r="D53" s="2">
        <v>166</v>
      </c>
      <c r="E53" s="2">
        <v>246</v>
      </c>
      <c r="F53" s="2">
        <v>2137</v>
      </c>
      <c r="G53" s="2">
        <v>38</v>
      </c>
      <c r="H53" s="2">
        <v>6</v>
      </c>
      <c r="I53" s="2">
        <v>9</v>
      </c>
      <c r="J53" s="2">
        <v>6</v>
      </c>
      <c r="K53" s="2">
        <v>12</v>
      </c>
      <c r="L53" s="2">
        <v>2</v>
      </c>
    </row>
    <row r="54" spans="2:12" ht="9.75" customHeight="1">
      <c r="B54" s="5" t="s">
        <v>40</v>
      </c>
      <c r="C54" s="2">
        <v>23619</v>
      </c>
      <c r="D54" s="2">
        <v>1410</v>
      </c>
      <c r="E54" s="2">
        <v>2237</v>
      </c>
      <c r="F54" s="2">
        <v>17133</v>
      </c>
      <c r="G54" s="2">
        <v>344</v>
      </c>
      <c r="H54" s="2">
        <v>44</v>
      </c>
      <c r="I54" s="2">
        <v>57</v>
      </c>
      <c r="J54" s="2">
        <v>19</v>
      </c>
      <c r="K54" s="2">
        <v>110</v>
      </c>
      <c r="L54" s="2">
        <v>31</v>
      </c>
    </row>
    <row r="55" spans="2:12" ht="9.75" customHeight="1">
      <c r="B55" s="5" t="s">
        <v>23</v>
      </c>
      <c r="C55" s="2">
        <v>15222</v>
      </c>
      <c r="D55" s="2">
        <v>842</v>
      </c>
      <c r="E55" s="2">
        <v>1642</v>
      </c>
      <c r="F55" s="2">
        <v>10413</v>
      </c>
      <c r="G55" s="2">
        <v>269</v>
      </c>
      <c r="H55" s="2">
        <v>30</v>
      </c>
      <c r="I55" s="2">
        <v>28</v>
      </c>
      <c r="J55" s="2">
        <v>15</v>
      </c>
      <c r="K55" s="2">
        <v>108</v>
      </c>
      <c r="L55" s="2">
        <v>15</v>
      </c>
    </row>
    <row r="56" spans="2:12" ht="9.75" customHeight="1">
      <c r="B56" s="5" t="s">
        <v>41</v>
      </c>
      <c r="C56" s="2">
        <v>17452</v>
      </c>
      <c r="D56" s="2">
        <v>666</v>
      </c>
      <c r="E56" s="2">
        <v>1534</v>
      </c>
      <c r="F56" s="2">
        <v>8962</v>
      </c>
      <c r="G56" s="2">
        <v>214</v>
      </c>
      <c r="H56" s="2">
        <v>122</v>
      </c>
      <c r="I56" s="2">
        <v>168</v>
      </c>
      <c r="J56" s="2">
        <v>63</v>
      </c>
      <c r="K56" s="2">
        <v>89</v>
      </c>
      <c r="L56" s="2">
        <v>36</v>
      </c>
    </row>
    <row r="57" spans="1:12" ht="9.75" customHeight="1">
      <c r="A57" s="3" t="s">
        <v>104</v>
      </c>
      <c r="C57" s="2">
        <v>59841</v>
      </c>
      <c r="D57" s="2">
        <v>3084</v>
      </c>
      <c r="E57" s="2">
        <v>5659</v>
      </c>
      <c r="F57" s="2">
        <v>38645</v>
      </c>
      <c r="G57" s="2">
        <v>865</v>
      </c>
      <c r="H57" s="2">
        <v>202</v>
      </c>
      <c r="I57" s="2">
        <v>262</v>
      </c>
      <c r="J57" s="2">
        <v>103</v>
      </c>
      <c r="K57" s="2">
        <v>319</v>
      </c>
      <c r="L57" s="2">
        <v>84</v>
      </c>
    </row>
    <row r="58" spans="2:12" s="4" customFormat="1" ht="9.75" customHeight="1">
      <c r="B58" s="6" t="s">
        <v>105</v>
      </c>
      <c r="C58" s="4">
        <f>C57/68584</f>
        <v>0.8725212877639099</v>
      </c>
      <c r="D58" s="4">
        <f>D57/68584</f>
        <v>0.04496675609471597</v>
      </c>
      <c r="E58" s="4">
        <f>E57/68584</f>
        <v>0.08251195614137408</v>
      </c>
      <c r="F58" s="4">
        <f>F57/38645</f>
        <v>1</v>
      </c>
      <c r="G58" s="4">
        <f>G57/865</f>
        <v>1</v>
      </c>
      <c r="H58" s="4">
        <f>H57/567</f>
        <v>0.3562610229276896</v>
      </c>
      <c r="I58" s="4">
        <f>I57/567</f>
        <v>0.4620811287477954</v>
      </c>
      <c r="J58" s="4">
        <f>J57/567</f>
        <v>0.18165784832451498</v>
      </c>
      <c r="K58" s="4">
        <f>K57/319</f>
        <v>1</v>
      </c>
      <c r="L58" s="4">
        <f>L57/84</f>
        <v>1</v>
      </c>
    </row>
    <row r="59" spans="2:12" ht="4.5" customHeight="1"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9.75" customHeight="1">
      <c r="A60" s="3" t="s">
        <v>43</v>
      </c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9.75" customHeight="1">
      <c r="B61" s="5" t="s">
        <v>16</v>
      </c>
      <c r="C61" s="2">
        <v>62084</v>
      </c>
      <c r="D61" s="2">
        <v>3336</v>
      </c>
      <c r="E61" s="2">
        <v>5442</v>
      </c>
      <c r="F61" s="2">
        <v>31417</v>
      </c>
      <c r="G61" s="2">
        <v>780</v>
      </c>
      <c r="H61" s="2">
        <v>273</v>
      </c>
      <c r="I61" s="2">
        <v>347</v>
      </c>
      <c r="J61" s="2">
        <v>152</v>
      </c>
      <c r="K61" s="2">
        <v>362</v>
      </c>
      <c r="L61" s="2">
        <v>209</v>
      </c>
    </row>
    <row r="62" spans="1:12" ht="9.75" customHeight="1">
      <c r="A62" s="3" t="s">
        <v>104</v>
      </c>
      <c r="C62" s="2">
        <v>62084</v>
      </c>
      <c r="D62" s="2">
        <v>3336</v>
      </c>
      <c r="E62" s="2">
        <v>5442</v>
      </c>
      <c r="F62" s="2">
        <v>31417</v>
      </c>
      <c r="G62" s="2">
        <v>780</v>
      </c>
      <c r="H62" s="2">
        <v>273</v>
      </c>
      <c r="I62" s="2">
        <v>347</v>
      </c>
      <c r="J62" s="2">
        <v>152</v>
      </c>
      <c r="K62" s="2">
        <v>362</v>
      </c>
      <c r="L62" s="2">
        <v>209</v>
      </c>
    </row>
    <row r="63" spans="2:12" s="4" customFormat="1" ht="9.75" customHeight="1">
      <c r="B63" s="6" t="s">
        <v>105</v>
      </c>
      <c r="C63" s="4">
        <f>C62/70862</f>
        <v>0.8761254268860602</v>
      </c>
      <c r="D63" s="4">
        <f>D62/70862</f>
        <v>0.04707741808021224</v>
      </c>
      <c r="E63" s="4">
        <f>E62/70862</f>
        <v>0.07679715503372753</v>
      </c>
      <c r="F63" s="4">
        <f>F62/31417</f>
        <v>1</v>
      </c>
      <c r="G63" s="4">
        <f>G62/780</f>
        <v>1</v>
      </c>
      <c r="H63" s="4">
        <f>H62/772</f>
        <v>0.3536269430051813</v>
      </c>
      <c r="I63" s="4">
        <f>I62/772</f>
        <v>0.4494818652849741</v>
      </c>
      <c r="J63" s="4">
        <f>J62/772</f>
        <v>0.19689119170984457</v>
      </c>
      <c r="K63" s="4">
        <f>K62/362</f>
        <v>1</v>
      </c>
      <c r="L63" s="4">
        <f>L62/209</f>
        <v>1</v>
      </c>
    </row>
    <row r="64" spans="2:12" ht="4.5" customHeight="1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9.75" customHeight="1">
      <c r="A65" s="3" t="s">
        <v>45</v>
      </c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9.75" customHeight="1">
      <c r="B66" s="5" t="s">
        <v>44</v>
      </c>
      <c r="C66" s="2">
        <v>83111</v>
      </c>
      <c r="D66" s="2">
        <v>2839</v>
      </c>
      <c r="E66" s="2">
        <v>5522</v>
      </c>
      <c r="F66" s="2">
        <v>43503</v>
      </c>
      <c r="G66" s="2">
        <v>934</v>
      </c>
      <c r="H66" s="2">
        <v>402</v>
      </c>
      <c r="I66" s="2">
        <v>265</v>
      </c>
      <c r="J66" s="2">
        <v>131</v>
      </c>
      <c r="K66" s="2">
        <v>549</v>
      </c>
      <c r="L66" s="2">
        <v>90</v>
      </c>
    </row>
    <row r="67" spans="1:12" ht="9.75" customHeight="1">
      <c r="A67" s="3" t="s">
        <v>104</v>
      </c>
      <c r="C67" s="2">
        <v>83111</v>
      </c>
      <c r="D67" s="2">
        <v>2839</v>
      </c>
      <c r="E67" s="2">
        <v>5522</v>
      </c>
      <c r="F67" s="2">
        <v>43503</v>
      </c>
      <c r="G67" s="2">
        <v>934</v>
      </c>
      <c r="H67" s="2">
        <v>402</v>
      </c>
      <c r="I67" s="2">
        <v>265</v>
      </c>
      <c r="J67" s="2">
        <v>131</v>
      </c>
      <c r="K67" s="2">
        <v>549</v>
      </c>
      <c r="L67" s="2">
        <v>90</v>
      </c>
    </row>
    <row r="68" spans="2:12" s="4" customFormat="1" ht="9.75" customHeight="1">
      <c r="B68" s="6" t="s">
        <v>105</v>
      </c>
      <c r="C68" s="4">
        <f>C67/91472</f>
        <v>0.9085949798845548</v>
      </c>
      <c r="D68" s="4">
        <f>D67/91472</f>
        <v>0.031036820010495014</v>
      </c>
      <c r="E68" s="4">
        <f>E67/91472</f>
        <v>0.06036820010495015</v>
      </c>
      <c r="F68" s="4">
        <f>F67/43503</f>
        <v>1</v>
      </c>
      <c r="G68" s="4">
        <f>G67/934</f>
        <v>1</v>
      </c>
      <c r="H68" s="4">
        <f>H67/798</f>
        <v>0.5037593984962406</v>
      </c>
      <c r="I68" s="4">
        <f>I67/798</f>
        <v>0.33208020050125314</v>
      </c>
      <c r="J68" s="4">
        <f>J67/798</f>
        <v>0.16416040100250626</v>
      </c>
      <c r="K68" s="4">
        <f>K67/549</f>
        <v>1</v>
      </c>
      <c r="L68" s="4">
        <f>L67/90</f>
        <v>1</v>
      </c>
    </row>
    <row r="69" spans="2:12" ht="4.5" customHeight="1"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9.75" customHeight="1">
      <c r="A70" s="3" t="s">
        <v>47</v>
      </c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9.75" customHeight="1">
      <c r="B71" s="5" t="s">
        <v>27</v>
      </c>
      <c r="C71" s="2">
        <v>44332</v>
      </c>
      <c r="D71" s="2">
        <v>1265</v>
      </c>
      <c r="E71" s="2">
        <v>2499</v>
      </c>
      <c r="F71" s="2">
        <v>6396</v>
      </c>
      <c r="G71" s="2">
        <v>310</v>
      </c>
      <c r="H71" s="2">
        <v>595</v>
      </c>
      <c r="I71" s="2">
        <v>203</v>
      </c>
      <c r="J71" s="2">
        <v>144</v>
      </c>
      <c r="K71" s="2">
        <v>195</v>
      </c>
      <c r="L71" s="2">
        <v>95</v>
      </c>
    </row>
    <row r="72" spans="2:12" ht="9.75" customHeight="1">
      <c r="B72" s="5" t="s">
        <v>46</v>
      </c>
      <c r="C72" s="2">
        <v>50654</v>
      </c>
      <c r="D72" s="2">
        <v>1682</v>
      </c>
      <c r="E72" s="2">
        <v>2880</v>
      </c>
      <c r="F72" s="2">
        <v>15438</v>
      </c>
      <c r="G72" s="2">
        <v>417</v>
      </c>
      <c r="H72" s="2">
        <v>323</v>
      </c>
      <c r="I72" s="2">
        <v>165</v>
      </c>
      <c r="J72" s="2">
        <v>51</v>
      </c>
      <c r="K72" s="2">
        <v>233</v>
      </c>
      <c r="L72" s="2">
        <v>41</v>
      </c>
    </row>
    <row r="73" spans="1:12" ht="9.75" customHeight="1">
      <c r="A73" s="3" t="s">
        <v>104</v>
      </c>
      <c r="C73" s="2">
        <v>94986</v>
      </c>
      <c r="D73" s="2">
        <v>2947</v>
      </c>
      <c r="E73" s="2">
        <v>5379</v>
      </c>
      <c r="F73" s="2">
        <v>21834</v>
      </c>
      <c r="G73" s="2">
        <v>727</v>
      </c>
      <c r="H73" s="2">
        <v>918</v>
      </c>
      <c r="I73" s="2">
        <v>368</v>
      </c>
      <c r="J73" s="2">
        <v>195</v>
      </c>
      <c r="K73" s="2">
        <v>428</v>
      </c>
      <c r="L73" s="2">
        <v>136</v>
      </c>
    </row>
    <row r="74" spans="2:12" s="4" customFormat="1" ht="9.75" customHeight="1">
      <c r="B74" s="6" t="s">
        <v>105</v>
      </c>
      <c r="C74" s="4">
        <f>C73/103312</f>
        <v>0.9194091683444324</v>
      </c>
      <c r="D74" s="4">
        <f>D73/103312</f>
        <v>0.02852524392132569</v>
      </c>
      <c r="E74" s="4">
        <f>E73/103312</f>
        <v>0.05206558773424191</v>
      </c>
      <c r="F74" s="4">
        <f>F73/21834</f>
        <v>1</v>
      </c>
      <c r="G74" s="4">
        <f>G73/727</f>
        <v>1</v>
      </c>
      <c r="H74" s="4">
        <f>H73/1481</f>
        <v>0.6198514517218096</v>
      </c>
      <c r="I74" s="4">
        <f>I73/1481</f>
        <v>0.24848075624577987</v>
      </c>
      <c r="J74" s="4">
        <f>J73/1481</f>
        <v>0.13166779203241052</v>
      </c>
      <c r="K74" s="4">
        <f>K73/428</f>
        <v>1</v>
      </c>
      <c r="L74" s="4">
        <f>L73/136</f>
        <v>1</v>
      </c>
    </row>
    <row r="75" spans="2:12" ht="4.5" customHeight="1"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9.75" customHeight="1">
      <c r="A76" s="3" t="s">
        <v>49</v>
      </c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9.75" customHeight="1">
      <c r="B77" s="5" t="s">
        <v>48</v>
      </c>
      <c r="C77" s="2">
        <v>104822</v>
      </c>
      <c r="D77" s="2">
        <v>3076</v>
      </c>
      <c r="E77" s="2">
        <v>6578</v>
      </c>
      <c r="F77" s="2">
        <v>16775</v>
      </c>
      <c r="G77" s="2">
        <v>487</v>
      </c>
      <c r="H77" s="2">
        <v>1889</v>
      </c>
      <c r="I77" s="2">
        <v>697</v>
      </c>
      <c r="J77" s="2">
        <v>456</v>
      </c>
      <c r="K77" s="2">
        <v>400</v>
      </c>
      <c r="L77" s="2">
        <v>307</v>
      </c>
    </row>
    <row r="78" spans="2:12" ht="9.75" customHeight="1">
      <c r="B78" s="5" t="s">
        <v>44</v>
      </c>
      <c r="C78" s="2">
        <v>7038</v>
      </c>
      <c r="D78" s="2">
        <v>340</v>
      </c>
      <c r="E78" s="2">
        <v>467</v>
      </c>
      <c r="F78" s="2">
        <v>679</v>
      </c>
      <c r="G78" s="2">
        <v>55</v>
      </c>
      <c r="H78" s="2">
        <v>65</v>
      </c>
      <c r="I78" s="2">
        <v>35</v>
      </c>
      <c r="J78" s="2">
        <v>10</v>
      </c>
      <c r="K78" s="2">
        <v>26</v>
      </c>
      <c r="L78" s="2">
        <v>20</v>
      </c>
    </row>
    <row r="79" spans="1:12" ht="9.75" customHeight="1">
      <c r="A79" s="3" t="s">
        <v>104</v>
      </c>
      <c r="C79" s="2">
        <v>111860</v>
      </c>
      <c r="D79" s="2">
        <v>3416</v>
      </c>
      <c r="E79" s="2">
        <v>7045</v>
      </c>
      <c r="F79" s="2">
        <v>17454</v>
      </c>
      <c r="G79" s="2">
        <v>542</v>
      </c>
      <c r="H79" s="2">
        <v>1954</v>
      </c>
      <c r="I79" s="2">
        <v>732</v>
      </c>
      <c r="J79" s="2">
        <v>466</v>
      </c>
      <c r="K79" s="2">
        <v>426</v>
      </c>
      <c r="L79" s="2">
        <v>327</v>
      </c>
    </row>
    <row r="80" spans="2:12" s="4" customFormat="1" ht="9.75" customHeight="1">
      <c r="B80" s="6" t="s">
        <v>105</v>
      </c>
      <c r="C80" s="4">
        <f>C79/122321</f>
        <v>0.9144791164231816</v>
      </c>
      <c r="D80" s="4">
        <f>D79/122321</f>
        <v>0.027926521202410053</v>
      </c>
      <c r="E80" s="4">
        <f>E79/122321</f>
        <v>0.05759436237440832</v>
      </c>
      <c r="F80" s="4">
        <f>F79/17454</f>
        <v>1</v>
      </c>
      <c r="G80" s="4">
        <f>G79/542</f>
        <v>1</v>
      </c>
      <c r="H80" s="4">
        <f>H79/3152</f>
        <v>0.6199238578680203</v>
      </c>
      <c r="I80" s="4">
        <f>I79/3152</f>
        <v>0.23223350253807107</v>
      </c>
      <c r="J80" s="4">
        <f>J79/3152</f>
        <v>0.14784263959390864</v>
      </c>
      <c r="K80" s="4">
        <f>K79/426</f>
        <v>1</v>
      </c>
      <c r="L80" s="4">
        <f>L79/327</f>
        <v>1</v>
      </c>
    </row>
    <row r="81" spans="2:12" ht="4.5" customHeight="1"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9.75" customHeight="1">
      <c r="A82" s="3" t="s">
        <v>51</v>
      </c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9.75" customHeight="1">
      <c r="B83" s="5" t="s">
        <v>48</v>
      </c>
      <c r="C83" s="2">
        <v>56642</v>
      </c>
      <c r="D83" s="2">
        <v>2148</v>
      </c>
      <c r="E83" s="2">
        <v>4078</v>
      </c>
      <c r="F83" s="2">
        <v>19176</v>
      </c>
      <c r="G83" s="2">
        <v>446</v>
      </c>
      <c r="H83" s="2">
        <v>194</v>
      </c>
      <c r="I83" s="2">
        <v>134</v>
      </c>
      <c r="J83" s="2">
        <v>96</v>
      </c>
      <c r="K83" s="2">
        <v>293</v>
      </c>
      <c r="L83" s="2">
        <v>61</v>
      </c>
    </row>
    <row r="84" spans="2:12" ht="9.75" customHeight="1">
      <c r="B84" s="5" t="s">
        <v>50</v>
      </c>
      <c r="C84" s="2">
        <v>8417</v>
      </c>
      <c r="D84" s="2">
        <v>466</v>
      </c>
      <c r="E84" s="2">
        <v>650</v>
      </c>
      <c r="F84" s="2">
        <v>4062</v>
      </c>
      <c r="G84" s="2">
        <v>146</v>
      </c>
      <c r="H84" s="2">
        <v>17</v>
      </c>
      <c r="I84" s="2">
        <v>29</v>
      </c>
      <c r="J84" s="2">
        <v>12</v>
      </c>
      <c r="K84" s="2">
        <v>63</v>
      </c>
      <c r="L84" s="2">
        <v>15</v>
      </c>
    </row>
    <row r="85" spans="1:12" ht="9.75" customHeight="1">
      <c r="A85" s="3" t="s">
        <v>104</v>
      </c>
      <c r="C85" s="2">
        <v>65059</v>
      </c>
      <c r="D85" s="2">
        <v>2614</v>
      </c>
      <c r="E85" s="2">
        <v>4728</v>
      </c>
      <c r="F85" s="2">
        <v>23238</v>
      </c>
      <c r="G85" s="2">
        <v>592</v>
      </c>
      <c r="H85" s="2">
        <v>211</v>
      </c>
      <c r="I85" s="2">
        <v>163</v>
      </c>
      <c r="J85" s="2">
        <v>108</v>
      </c>
      <c r="K85" s="2">
        <v>356</v>
      </c>
      <c r="L85" s="2">
        <v>76</v>
      </c>
    </row>
    <row r="86" spans="2:12" s="4" customFormat="1" ht="9.75" customHeight="1">
      <c r="B86" s="6" t="s">
        <v>105</v>
      </c>
      <c r="C86" s="4">
        <f>C85/72401</f>
        <v>0.898592560876231</v>
      </c>
      <c r="D86" s="4">
        <f>D85/72401</f>
        <v>0.03610447369511471</v>
      </c>
      <c r="E86" s="4">
        <f>E85/72401</f>
        <v>0.0653029654286543</v>
      </c>
      <c r="F86" s="4">
        <f>F85/23238</f>
        <v>1</v>
      </c>
      <c r="G86" s="4">
        <f>G85/592</f>
        <v>1</v>
      </c>
      <c r="H86" s="4">
        <f>H85/482</f>
        <v>0.43775933609958506</v>
      </c>
      <c r="I86" s="4">
        <f>I85/482</f>
        <v>0.3381742738589212</v>
      </c>
      <c r="J86" s="4">
        <f>J85/482</f>
        <v>0.22406639004149378</v>
      </c>
      <c r="K86" s="4">
        <f>K85/356</f>
        <v>1</v>
      </c>
      <c r="L86" s="4">
        <f>L85/76</f>
        <v>1</v>
      </c>
    </row>
    <row r="87" spans="2:12" ht="4.5" customHeight="1"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9.75" customHeight="1">
      <c r="A88" s="3" t="s">
        <v>53</v>
      </c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9.75" customHeight="1">
      <c r="B89" s="5" t="s">
        <v>46</v>
      </c>
      <c r="C89" s="2">
        <v>19364</v>
      </c>
      <c r="D89" s="2">
        <v>588</v>
      </c>
      <c r="E89" s="2">
        <v>1011</v>
      </c>
      <c r="F89" s="2">
        <v>7550</v>
      </c>
      <c r="G89" s="2">
        <v>159</v>
      </c>
      <c r="H89" s="2">
        <v>130</v>
      </c>
      <c r="I89" s="2">
        <v>77</v>
      </c>
      <c r="J89" s="2">
        <v>46</v>
      </c>
      <c r="K89" s="2">
        <v>129</v>
      </c>
      <c r="L89" s="2">
        <v>22</v>
      </c>
    </row>
    <row r="90" spans="2:12" ht="9.75" customHeight="1">
      <c r="B90" s="5" t="s">
        <v>50</v>
      </c>
      <c r="C90" s="2">
        <v>48392</v>
      </c>
      <c r="D90" s="2">
        <v>1968</v>
      </c>
      <c r="E90" s="2">
        <v>2982</v>
      </c>
      <c r="F90" s="2">
        <v>24057</v>
      </c>
      <c r="G90" s="2">
        <v>611</v>
      </c>
      <c r="H90" s="2">
        <v>196</v>
      </c>
      <c r="I90" s="2">
        <v>185</v>
      </c>
      <c r="J90" s="2">
        <v>105</v>
      </c>
      <c r="K90" s="2">
        <v>441</v>
      </c>
      <c r="L90" s="2">
        <v>43</v>
      </c>
    </row>
    <row r="91" spans="2:12" ht="9.75" customHeight="1">
      <c r="B91" s="5" t="s">
        <v>52</v>
      </c>
      <c r="C91" s="2">
        <v>19566</v>
      </c>
      <c r="D91" s="2">
        <v>668</v>
      </c>
      <c r="E91" s="2">
        <v>1713</v>
      </c>
      <c r="F91" s="2">
        <v>5008</v>
      </c>
      <c r="G91" s="2">
        <v>220</v>
      </c>
      <c r="H91" s="2">
        <v>338</v>
      </c>
      <c r="I91" s="2">
        <v>281</v>
      </c>
      <c r="J91" s="2">
        <v>151</v>
      </c>
      <c r="K91" s="2">
        <v>201</v>
      </c>
      <c r="L91" s="2">
        <v>62</v>
      </c>
    </row>
    <row r="92" spans="1:12" ht="9.75" customHeight="1">
      <c r="A92" s="3" t="s">
        <v>104</v>
      </c>
      <c r="C92" s="2">
        <v>87322</v>
      </c>
      <c r="D92" s="2">
        <v>3224</v>
      </c>
      <c r="E92" s="2">
        <v>5706</v>
      </c>
      <c r="F92" s="2">
        <v>36615</v>
      </c>
      <c r="G92" s="2">
        <v>990</v>
      </c>
      <c r="H92" s="2">
        <v>664</v>
      </c>
      <c r="I92" s="2">
        <v>543</v>
      </c>
      <c r="J92" s="2">
        <v>302</v>
      </c>
      <c r="K92" s="2">
        <v>771</v>
      </c>
      <c r="L92" s="2">
        <v>127</v>
      </c>
    </row>
    <row r="93" spans="2:12" s="4" customFormat="1" ht="9.75" customHeight="1">
      <c r="B93" s="6" t="s">
        <v>105</v>
      </c>
      <c r="C93" s="4">
        <f>C92/96252</f>
        <v>0.9072227070606325</v>
      </c>
      <c r="D93" s="4">
        <f>D92/96252</f>
        <v>0.03349540788762831</v>
      </c>
      <c r="E93" s="4">
        <f>E92/96252</f>
        <v>0.05928188505173918</v>
      </c>
      <c r="F93" s="4">
        <f>F92/36615</f>
        <v>1</v>
      </c>
      <c r="G93" s="4">
        <f>G92/990</f>
        <v>1</v>
      </c>
      <c r="H93" s="4">
        <f>H92/1509</f>
        <v>0.44002650762094103</v>
      </c>
      <c r="I93" s="4">
        <f>I92/1509</f>
        <v>0.35984095427435386</v>
      </c>
      <c r="J93" s="4">
        <f>J92/1509</f>
        <v>0.2001325381047051</v>
      </c>
      <c r="K93" s="4">
        <f>K92/771</f>
        <v>1</v>
      </c>
      <c r="L93" s="4">
        <f>L92/127</f>
        <v>1</v>
      </c>
    </row>
    <row r="94" spans="2:12" ht="4.5" customHeight="1"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9.75" customHeight="1">
      <c r="A95" s="3" t="s">
        <v>59</v>
      </c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9.75" customHeight="1">
      <c r="B96" s="5" t="s">
        <v>54</v>
      </c>
      <c r="C96" s="2">
        <v>2232</v>
      </c>
      <c r="D96" s="2">
        <v>217</v>
      </c>
      <c r="E96" s="2">
        <v>280</v>
      </c>
      <c r="F96" s="2">
        <v>2253</v>
      </c>
      <c r="G96" s="2">
        <v>39</v>
      </c>
      <c r="H96" s="2">
        <v>3</v>
      </c>
      <c r="I96" s="2">
        <v>5</v>
      </c>
      <c r="J96" s="2">
        <v>0</v>
      </c>
      <c r="K96" s="2">
        <v>9</v>
      </c>
      <c r="L96" s="2">
        <v>1</v>
      </c>
    </row>
    <row r="97" spans="2:12" ht="9.75" customHeight="1">
      <c r="B97" s="5" t="s">
        <v>55</v>
      </c>
      <c r="C97" s="2">
        <v>8579</v>
      </c>
      <c r="D97" s="2">
        <v>605</v>
      </c>
      <c r="E97" s="2">
        <v>1249</v>
      </c>
      <c r="F97" s="2">
        <v>8463</v>
      </c>
      <c r="G97" s="2">
        <v>168</v>
      </c>
      <c r="H97" s="2">
        <v>17</v>
      </c>
      <c r="I97" s="2">
        <v>20</v>
      </c>
      <c r="J97" s="2">
        <v>10</v>
      </c>
      <c r="K97" s="2">
        <v>43</v>
      </c>
      <c r="L97" s="2">
        <v>8</v>
      </c>
    </row>
    <row r="98" spans="2:12" ht="9.75" customHeight="1">
      <c r="B98" s="5" t="s">
        <v>56</v>
      </c>
      <c r="C98" s="2">
        <v>9118</v>
      </c>
      <c r="D98" s="2">
        <v>812</v>
      </c>
      <c r="E98" s="2">
        <v>764</v>
      </c>
      <c r="F98" s="2">
        <v>4872</v>
      </c>
      <c r="G98" s="2">
        <v>105</v>
      </c>
      <c r="H98" s="2">
        <v>22</v>
      </c>
      <c r="I98" s="2">
        <v>22</v>
      </c>
      <c r="J98" s="2">
        <v>8</v>
      </c>
      <c r="K98" s="2">
        <v>38</v>
      </c>
      <c r="L98" s="2">
        <v>12</v>
      </c>
    </row>
    <row r="99" spans="2:12" ht="9.75" customHeight="1">
      <c r="B99" s="5" t="s">
        <v>57</v>
      </c>
      <c r="C99" s="2">
        <v>4336</v>
      </c>
      <c r="D99" s="2">
        <v>275</v>
      </c>
      <c r="E99" s="2">
        <v>367</v>
      </c>
      <c r="F99" s="2">
        <v>2965</v>
      </c>
      <c r="G99" s="2">
        <v>87</v>
      </c>
      <c r="H99" s="2">
        <v>15</v>
      </c>
      <c r="I99" s="2">
        <v>13</v>
      </c>
      <c r="J99" s="2">
        <v>3</v>
      </c>
      <c r="K99" s="2">
        <v>26</v>
      </c>
      <c r="L99" s="2">
        <v>4</v>
      </c>
    </row>
    <row r="100" spans="2:12" ht="9.75" customHeight="1">
      <c r="B100" s="5" t="s">
        <v>58</v>
      </c>
      <c r="C100" s="2">
        <v>15415</v>
      </c>
      <c r="D100" s="2">
        <v>1341</v>
      </c>
      <c r="E100" s="2">
        <v>1851</v>
      </c>
      <c r="F100" s="2">
        <v>13070</v>
      </c>
      <c r="G100" s="2">
        <v>289</v>
      </c>
      <c r="H100" s="2">
        <v>40</v>
      </c>
      <c r="I100" s="2">
        <v>33</v>
      </c>
      <c r="J100" s="2">
        <v>10</v>
      </c>
      <c r="K100" s="2">
        <v>86</v>
      </c>
      <c r="L100" s="2">
        <v>31</v>
      </c>
    </row>
    <row r="101" spans="1:12" ht="9.75" customHeight="1">
      <c r="A101" s="3" t="s">
        <v>104</v>
      </c>
      <c r="C101" s="2">
        <v>39680</v>
      </c>
      <c r="D101" s="2">
        <v>3250</v>
      </c>
      <c r="E101" s="2">
        <v>4511</v>
      </c>
      <c r="F101" s="2">
        <v>31623</v>
      </c>
      <c r="G101" s="2">
        <v>688</v>
      </c>
      <c r="H101" s="2">
        <v>97</v>
      </c>
      <c r="I101" s="2">
        <v>93</v>
      </c>
      <c r="J101" s="2">
        <v>31</v>
      </c>
      <c r="K101" s="2">
        <v>202</v>
      </c>
      <c r="L101" s="2">
        <v>56</v>
      </c>
    </row>
    <row r="102" spans="2:12" s="4" customFormat="1" ht="9.75" customHeight="1">
      <c r="B102" s="6" t="s">
        <v>105</v>
      </c>
      <c r="C102" s="4">
        <f>C101/47441</f>
        <v>0.8364073269956367</v>
      </c>
      <c r="D102" s="4">
        <f>D101/47441</f>
        <v>0.068506144474189</v>
      </c>
      <c r="E102" s="4">
        <f>E101/47441</f>
        <v>0.09508652853017432</v>
      </c>
      <c r="F102" s="4">
        <f>F101/31623</f>
        <v>1</v>
      </c>
      <c r="G102" s="4">
        <f>G101/688</f>
        <v>1</v>
      </c>
      <c r="H102" s="4">
        <f>H101/221</f>
        <v>0.43891402714932126</v>
      </c>
      <c r="I102" s="4">
        <f>I101/221</f>
        <v>0.42081447963800905</v>
      </c>
      <c r="J102" s="4">
        <f>J101/221</f>
        <v>0.14027149321266968</v>
      </c>
      <c r="K102" s="4">
        <f>K101/202</f>
        <v>1</v>
      </c>
      <c r="L102" s="4">
        <f>L101/56</f>
        <v>1</v>
      </c>
    </row>
    <row r="103" spans="2:12" ht="4.5" customHeight="1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9.75" customHeight="1">
      <c r="A104" s="3" t="s">
        <v>60</v>
      </c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9.75" customHeight="1">
      <c r="B105" s="5" t="s">
        <v>50</v>
      </c>
      <c r="C105" s="2">
        <v>54303</v>
      </c>
      <c r="D105" s="2">
        <v>2783</v>
      </c>
      <c r="E105" s="2">
        <v>4119</v>
      </c>
      <c r="F105" s="2">
        <v>21612</v>
      </c>
      <c r="G105" s="2">
        <v>819</v>
      </c>
      <c r="H105" s="2">
        <v>252</v>
      </c>
      <c r="I105" s="2">
        <v>268</v>
      </c>
      <c r="J105" s="2">
        <v>95</v>
      </c>
      <c r="K105" s="2">
        <v>525</v>
      </c>
      <c r="L105" s="2">
        <v>115</v>
      </c>
    </row>
    <row r="106" spans="1:12" ht="9.75" customHeight="1">
      <c r="A106" s="3" t="s">
        <v>104</v>
      </c>
      <c r="C106" s="2">
        <v>54303</v>
      </c>
      <c r="D106" s="2">
        <v>2783</v>
      </c>
      <c r="E106" s="2">
        <v>4119</v>
      </c>
      <c r="F106" s="2">
        <v>21612</v>
      </c>
      <c r="G106" s="2">
        <v>819</v>
      </c>
      <c r="H106" s="2">
        <v>252</v>
      </c>
      <c r="I106" s="2">
        <v>268</v>
      </c>
      <c r="J106" s="2">
        <v>95</v>
      </c>
      <c r="K106" s="2">
        <v>525</v>
      </c>
      <c r="L106" s="2">
        <v>115</v>
      </c>
    </row>
    <row r="107" spans="2:12" s="4" customFormat="1" ht="9.75" customHeight="1">
      <c r="B107" s="6" t="s">
        <v>105</v>
      </c>
      <c r="C107" s="4">
        <f>C106/61205</f>
        <v>0.88723143534025</v>
      </c>
      <c r="D107" s="4">
        <f>D106/61205</f>
        <v>0.04547014132832285</v>
      </c>
      <c r="E107" s="4">
        <f>E106/61205</f>
        <v>0.06729842333142717</v>
      </c>
      <c r="F107" s="4">
        <f>F106/21612</f>
        <v>1</v>
      </c>
      <c r="G107" s="4">
        <f>G106/819</f>
        <v>1</v>
      </c>
      <c r="H107" s="4">
        <f>H106/615</f>
        <v>0.4097560975609756</v>
      </c>
      <c r="I107" s="4">
        <f>I106/615</f>
        <v>0.43577235772357725</v>
      </c>
      <c r="J107" s="4">
        <f>J106/615</f>
        <v>0.15447154471544716</v>
      </c>
      <c r="K107" s="4">
        <f>K106/525</f>
        <v>1</v>
      </c>
      <c r="L107" s="4">
        <f>L106/115</f>
        <v>1</v>
      </c>
    </row>
    <row r="108" spans="2:12" ht="4.5" customHeight="1"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9.75" customHeight="1">
      <c r="A109" s="3" t="s">
        <v>64</v>
      </c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9.75" customHeight="1">
      <c r="B110" s="5" t="s">
        <v>61</v>
      </c>
      <c r="C110" s="2">
        <v>23533</v>
      </c>
      <c r="D110" s="2">
        <v>1461</v>
      </c>
      <c r="E110" s="2">
        <v>2584</v>
      </c>
      <c r="F110" s="2">
        <v>33795</v>
      </c>
      <c r="G110" s="2">
        <v>348</v>
      </c>
      <c r="H110" s="2">
        <v>96</v>
      </c>
      <c r="I110" s="2">
        <v>82</v>
      </c>
      <c r="J110" s="2">
        <v>38</v>
      </c>
      <c r="K110" s="2">
        <v>167</v>
      </c>
      <c r="L110" s="2">
        <v>36</v>
      </c>
    </row>
    <row r="111" spans="2:12" ht="9.75" customHeight="1">
      <c r="B111" s="5" t="s">
        <v>54</v>
      </c>
      <c r="C111" s="2">
        <v>3225</v>
      </c>
      <c r="D111" s="2">
        <v>371</v>
      </c>
      <c r="E111" s="2">
        <v>506</v>
      </c>
      <c r="F111" s="2">
        <v>6358</v>
      </c>
      <c r="G111" s="2">
        <v>140</v>
      </c>
      <c r="H111" s="2">
        <v>21</v>
      </c>
      <c r="I111" s="2">
        <v>27</v>
      </c>
      <c r="J111" s="2">
        <v>4</v>
      </c>
      <c r="K111" s="2">
        <v>56</v>
      </c>
      <c r="L111" s="2">
        <v>8</v>
      </c>
    </row>
    <row r="112" spans="2:12" ht="9.75" customHeight="1">
      <c r="B112" s="5" t="s">
        <v>62</v>
      </c>
      <c r="C112" s="2">
        <v>1532</v>
      </c>
      <c r="D112" s="2">
        <v>147</v>
      </c>
      <c r="E112" s="2">
        <v>238</v>
      </c>
      <c r="F112" s="2">
        <v>2345</v>
      </c>
      <c r="G112" s="2">
        <v>57</v>
      </c>
      <c r="H112" s="2">
        <v>17</v>
      </c>
      <c r="I112" s="2">
        <v>23</v>
      </c>
      <c r="J112" s="2">
        <v>1</v>
      </c>
      <c r="K112" s="2">
        <v>24</v>
      </c>
      <c r="L112" s="2">
        <v>2</v>
      </c>
    </row>
    <row r="113" spans="2:12" ht="9.75" customHeight="1">
      <c r="B113" s="5" t="s">
        <v>40</v>
      </c>
      <c r="C113" s="2">
        <v>7315</v>
      </c>
      <c r="D113" s="2">
        <v>699</v>
      </c>
      <c r="E113" s="2">
        <v>982</v>
      </c>
      <c r="F113" s="2">
        <v>13214</v>
      </c>
      <c r="G113" s="2">
        <v>179</v>
      </c>
      <c r="H113" s="2">
        <v>15</v>
      </c>
      <c r="I113" s="2">
        <v>21</v>
      </c>
      <c r="J113" s="2">
        <v>11</v>
      </c>
      <c r="K113" s="2">
        <v>65</v>
      </c>
      <c r="L113" s="2">
        <v>5</v>
      </c>
    </row>
    <row r="114" spans="2:12" ht="9.75" customHeight="1">
      <c r="B114" s="5" t="s">
        <v>58</v>
      </c>
      <c r="C114" s="2">
        <v>8121</v>
      </c>
      <c r="D114" s="2">
        <v>901</v>
      </c>
      <c r="E114" s="2">
        <v>1002</v>
      </c>
      <c r="F114" s="2">
        <v>11043</v>
      </c>
      <c r="G114" s="2">
        <v>188</v>
      </c>
      <c r="H114" s="2">
        <v>5</v>
      </c>
      <c r="I114" s="2">
        <v>12</v>
      </c>
      <c r="J114" s="2">
        <v>6</v>
      </c>
      <c r="K114" s="2">
        <v>48</v>
      </c>
      <c r="L114" s="2">
        <v>17</v>
      </c>
    </row>
    <row r="115" spans="2:12" ht="9.75" customHeight="1">
      <c r="B115" s="5" t="s">
        <v>63</v>
      </c>
      <c r="C115" s="2">
        <v>5157</v>
      </c>
      <c r="D115" s="2">
        <v>385</v>
      </c>
      <c r="E115" s="2">
        <v>539</v>
      </c>
      <c r="F115" s="2">
        <v>6025</v>
      </c>
      <c r="G115" s="2">
        <v>117</v>
      </c>
      <c r="H115" s="2">
        <v>22</v>
      </c>
      <c r="I115" s="2">
        <v>37</v>
      </c>
      <c r="J115" s="2">
        <v>11</v>
      </c>
      <c r="K115" s="2">
        <v>55</v>
      </c>
      <c r="L115" s="2">
        <v>9</v>
      </c>
    </row>
    <row r="116" spans="1:12" ht="9.75" customHeight="1">
      <c r="A116" s="3" t="s">
        <v>104</v>
      </c>
      <c r="C116" s="2">
        <v>48883</v>
      </c>
      <c r="D116" s="2">
        <v>3964</v>
      </c>
      <c r="E116" s="2">
        <v>5851</v>
      </c>
      <c r="F116" s="2">
        <v>72780</v>
      </c>
      <c r="G116" s="2">
        <v>1029</v>
      </c>
      <c r="H116" s="2">
        <v>176</v>
      </c>
      <c r="I116" s="2">
        <v>202</v>
      </c>
      <c r="J116" s="2">
        <v>71</v>
      </c>
      <c r="K116" s="2">
        <v>415</v>
      </c>
      <c r="L116" s="2">
        <v>77</v>
      </c>
    </row>
    <row r="117" spans="2:12" s="4" customFormat="1" ht="9.75" customHeight="1">
      <c r="B117" s="6" t="s">
        <v>105</v>
      </c>
      <c r="C117" s="4">
        <f>C116/58698</f>
        <v>0.8327881699546833</v>
      </c>
      <c r="D117" s="4">
        <f>D116/58698</f>
        <v>0.06753211353027361</v>
      </c>
      <c r="E117" s="4">
        <f>E116/58698</f>
        <v>0.0996797165150431</v>
      </c>
      <c r="F117" s="4">
        <f>F116/72780</f>
        <v>1</v>
      </c>
      <c r="G117" s="4">
        <f>G116/1029</f>
        <v>1</v>
      </c>
      <c r="H117" s="4">
        <f>H116/449</f>
        <v>0.39198218262806234</v>
      </c>
      <c r="I117" s="4">
        <f>I116/449</f>
        <v>0.44988864142538976</v>
      </c>
      <c r="J117" s="4">
        <f>J116/449</f>
        <v>0.15812917594654788</v>
      </c>
      <c r="K117" s="4">
        <f>K116/415</f>
        <v>1</v>
      </c>
      <c r="L117" s="4">
        <f>L116/77</f>
        <v>1</v>
      </c>
    </row>
    <row r="118" spans="2:12" ht="4.5" customHeight="1"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9.75" customHeight="1">
      <c r="A119" s="3" t="s">
        <v>67</v>
      </c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9.75" customHeight="1">
      <c r="B120" s="5" t="s">
        <v>56</v>
      </c>
      <c r="C120" s="2">
        <v>15309</v>
      </c>
      <c r="D120" s="2">
        <v>692</v>
      </c>
      <c r="E120" s="2">
        <v>1070</v>
      </c>
      <c r="F120" s="2">
        <v>10474</v>
      </c>
      <c r="G120" s="2">
        <v>218</v>
      </c>
      <c r="H120" s="2">
        <v>94</v>
      </c>
      <c r="I120" s="2">
        <v>102</v>
      </c>
      <c r="J120" s="2">
        <v>42</v>
      </c>
      <c r="K120" s="2">
        <v>102</v>
      </c>
      <c r="L120" s="2">
        <v>20</v>
      </c>
    </row>
    <row r="121" spans="2:12" ht="9.75" customHeight="1">
      <c r="B121" s="5" t="s">
        <v>65</v>
      </c>
      <c r="C121" s="2">
        <v>21913</v>
      </c>
      <c r="D121" s="2">
        <v>1110</v>
      </c>
      <c r="E121" s="2">
        <v>1806</v>
      </c>
      <c r="F121" s="2">
        <v>24120</v>
      </c>
      <c r="G121" s="2">
        <v>394</v>
      </c>
      <c r="H121" s="2">
        <v>147</v>
      </c>
      <c r="I121" s="2">
        <v>191</v>
      </c>
      <c r="J121" s="2">
        <v>137</v>
      </c>
      <c r="K121" s="2">
        <v>261</v>
      </c>
      <c r="L121" s="2">
        <v>30</v>
      </c>
    </row>
    <row r="122" spans="2:12" ht="9.75" customHeight="1">
      <c r="B122" s="5" t="s">
        <v>66</v>
      </c>
      <c r="C122" s="2">
        <v>5814</v>
      </c>
      <c r="D122" s="2">
        <v>616</v>
      </c>
      <c r="E122" s="2">
        <v>709</v>
      </c>
      <c r="F122" s="2">
        <v>7811</v>
      </c>
      <c r="G122" s="2">
        <v>117</v>
      </c>
      <c r="H122" s="2">
        <v>9</v>
      </c>
      <c r="I122" s="2">
        <v>15</v>
      </c>
      <c r="J122" s="2">
        <v>13</v>
      </c>
      <c r="K122" s="2">
        <v>38</v>
      </c>
      <c r="L122" s="2">
        <v>10</v>
      </c>
    </row>
    <row r="123" spans="2:12" ht="9.75" customHeight="1">
      <c r="B123" s="5" t="s">
        <v>50</v>
      </c>
      <c r="C123" s="2">
        <v>17521</v>
      </c>
      <c r="D123" s="2">
        <v>693</v>
      </c>
      <c r="E123" s="2">
        <v>1094</v>
      </c>
      <c r="F123" s="2">
        <v>14663</v>
      </c>
      <c r="G123" s="2">
        <v>242</v>
      </c>
      <c r="H123" s="2">
        <v>58</v>
      </c>
      <c r="I123" s="2">
        <v>51</v>
      </c>
      <c r="J123" s="2">
        <v>34</v>
      </c>
      <c r="K123" s="2">
        <v>177</v>
      </c>
      <c r="L123" s="2">
        <v>14</v>
      </c>
    </row>
    <row r="124" spans="2:12" ht="9.75" customHeight="1">
      <c r="B124" s="5" t="s">
        <v>52</v>
      </c>
      <c r="C124" s="2">
        <v>11611</v>
      </c>
      <c r="D124" s="2">
        <v>605</v>
      </c>
      <c r="E124" s="2">
        <v>957</v>
      </c>
      <c r="F124" s="2">
        <v>5439</v>
      </c>
      <c r="G124" s="2">
        <v>140</v>
      </c>
      <c r="H124" s="2">
        <v>75</v>
      </c>
      <c r="I124" s="2">
        <v>78</v>
      </c>
      <c r="J124" s="2">
        <v>44</v>
      </c>
      <c r="K124" s="2">
        <v>103</v>
      </c>
      <c r="L124" s="2">
        <v>26</v>
      </c>
    </row>
    <row r="125" spans="1:12" ht="9.75" customHeight="1">
      <c r="A125" s="3" t="s">
        <v>104</v>
      </c>
      <c r="C125" s="2">
        <v>72168</v>
      </c>
      <c r="D125" s="2">
        <v>3716</v>
      </c>
      <c r="E125" s="2">
        <v>5636</v>
      </c>
      <c r="F125" s="2">
        <v>62507</v>
      </c>
      <c r="G125" s="2">
        <v>1111</v>
      </c>
      <c r="H125" s="2">
        <v>383</v>
      </c>
      <c r="I125" s="2">
        <v>437</v>
      </c>
      <c r="J125" s="2">
        <v>270</v>
      </c>
      <c r="K125" s="2">
        <v>681</v>
      </c>
      <c r="L125" s="2">
        <v>100</v>
      </c>
    </row>
    <row r="126" spans="2:12" s="4" customFormat="1" ht="9.75" customHeight="1">
      <c r="B126" s="6" t="s">
        <v>105</v>
      </c>
      <c r="C126" s="4">
        <f>C125/81520</f>
        <v>0.885279685966634</v>
      </c>
      <c r="D126" s="4">
        <f>D125/81520</f>
        <v>0.045583905789990185</v>
      </c>
      <c r="E126" s="4">
        <f>E125/81520</f>
        <v>0.06913640824337586</v>
      </c>
      <c r="F126" s="4">
        <f>F125/62507</f>
        <v>1</v>
      </c>
      <c r="G126" s="4">
        <f>G125/1111</f>
        <v>1</v>
      </c>
      <c r="H126" s="4">
        <f>H125/1090</f>
        <v>0.3513761467889908</v>
      </c>
      <c r="I126" s="4">
        <f>I125/1090</f>
        <v>0.40091743119266054</v>
      </c>
      <c r="J126" s="4">
        <f>J125/1090</f>
        <v>0.24770642201834864</v>
      </c>
      <c r="K126" s="4">
        <f>K125/681</f>
        <v>1</v>
      </c>
      <c r="L126" s="4">
        <f>L125/100</f>
        <v>1</v>
      </c>
    </row>
    <row r="127" spans="2:12" ht="4.5" customHeight="1"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9.75" customHeight="1">
      <c r="A128" s="3" t="s">
        <v>71</v>
      </c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9.75" customHeight="1">
      <c r="B129" s="5" t="s">
        <v>61</v>
      </c>
      <c r="C129" s="2">
        <v>13218</v>
      </c>
      <c r="D129" s="2">
        <v>1152</v>
      </c>
      <c r="E129" s="2">
        <v>1313</v>
      </c>
      <c r="F129" s="2">
        <v>6909</v>
      </c>
      <c r="G129" s="2">
        <v>163</v>
      </c>
      <c r="H129" s="2">
        <v>31</v>
      </c>
      <c r="I129" s="2">
        <v>27</v>
      </c>
      <c r="J129" s="2">
        <v>10</v>
      </c>
      <c r="K129" s="2">
        <v>41</v>
      </c>
      <c r="L129" s="2">
        <v>21</v>
      </c>
    </row>
    <row r="130" spans="2:12" ht="9.75" customHeight="1">
      <c r="B130" s="5" t="s">
        <v>68</v>
      </c>
      <c r="C130" s="2">
        <v>6806</v>
      </c>
      <c r="D130" s="2">
        <v>743</v>
      </c>
      <c r="E130" s="2">
        <v>731</v>
      </c>
      <c r="F130" s="2">
        <v>3839</v>
      </c>
      <c r="G130" s="2">
        <v>81</v>
      </c>
      <c r="H130" s="2">
        <v>3</v>
      </c>
      <c r="I130" s="2">
        <v>7</v>
      </c>
      <c r="J130" s="2">
        <v>0</v>
      </c>
      <c r="K130" s="2">
        <v>17</v>
      </c>
      <c r="L130" s="2">
        <v>6</v>
      </c>
    </row>
    <row r="131" spans="2:12" ht="9.75" customHeight="1">
      <c r="B131" s="5" t="s">
        <v>69</v>
      </c>
      <c r="C131" s="2">
        <v>4617</v>
      </c>
      <c r="D131" s="2">
        <v>450</v>
      </c>
      <c r="E131" s="2">
        <v>553</v>
      </c>
      <c r="F131" s="2">
        <v>6144</v>
      </c>
      <c r="G131" s="2">
        <v>103</v>
      </c>
      <c r="H131" s="2">
        <v>7</v>
      </c>
      <c r="I131" s="2">
        <v>7</v>
      </c>
      <c r="J131" s="2">
        <v>2</v>
      </c>
      <c r="K131" s="2">
        <v>20</v>
      </c>
      <c r="L131" s="2">
        <v>0</v>
      </c>
    </row>
    <row r="132" spans="2:12" ht="9.75" customHeight="1">
      <c r="B132" s="5" t="s">
        <v>70</v>
      </c>
      <c r="C132" s="2">
        <v>2485</v>
      </c>
      <c r="D132" s="2">
        <v>268</v>
      </c>
      <c r="E132" s="2">
        <v>232</v>
      </c>
      <c r="F132" s="2">
        <v>2523</v>
      </c>
      <c r="G132" s="2">
        <v>47</v>
      </c>
      <c r="H132" s="2">
        <v>3</v>
      </c>
      <c r="I132" s="2">
        <v>1</v>
      </c>
      <c r="J132" s="2">
        <v>1</v>
      </c>
      <c r="K132" s="2">
        <v>11</v>
      </c>
      <c r="L132" s="2">
        <v>4</v>
      </c>
    </row>
    <row r="133" spans="1:12" ht="9.75" customHeight="1">
      <c r="A133" s="3" t="s">
        <v>104</v>
      </c>
      <c r="C133" s="2">
        <v>27126</v>
      </c>
      <c r="D133" s="2">
        <v>2613</v>
      </c>
      <c r="E133" s="2">
        <v>2829</v>
      </c>
      <c r="F133" s="2">
        <v>19415</v>
      </c>
      <c r="G133" s="2">
        <v>394</v>
      </c>
      <c r="H133" s="2">
        <v>44</v>
      </c>
      <c r="I133" s="2">
        <v>42</v>
      </c>
      <c r="J133" s="2">
        <v>13</v>
      </c>
      <c r="K133" s="2">
        <v>89</v>
      </c>
      <c r="L133" s="2">
        <v>31</v>
      </c>
    </row>
    <row r="134" spans="2:12" s="4" customFormat="1" ht="9.75" customHeight="1">
      <c r="B134" s="6" t="s">
        <v>105</v>
      </c>
      <c r="C134" s="4">
        <f>C133/32568</f>
        <v>0.832903463522476</v>
      </c>
      <c r="D134" s="4">
        <f>D133/32568</f>
        <v>0.08023212969786293</v>
      </c>
      <c r="E134" s="4">
        <f>E133/32568</f>
        <v>0.08686440677966102</v>
      </c>
      <c r="F134" s="4">
        <f>F133/19415</f>
        <v>1</v>
      </c>
      <c r="G134" s="4">
        <f>G133/394</f>
        <v>1</v>
      </c>
      <c r="H134" s="4">
        <f>H133/99</f>
        <v>0.4444444444444444</v>
      </c>
      <c r="I134" s="4">
        <f>I133/99</f>
        <v>0.42424242424242425</v>
      </c>
      <c r="J134" s="4">
        <f>J133/99</f>
        <v>0.13131313131313133</v>
      </c>
      <c r="K134" s="4">
        <f>K133/89</f>
        <v>1</v>
      </c>
      <c r="L134" s="4">
        <f>L133/31</f>
        <v>1</v>
      </c>
    </row>
    <row r="135" spans="2:12" ht="4.5" customHeight="1"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9.75" customHeight="1">
      <c r="A136" s="3" t="s">
        <v>75</v>
      </c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9.75" customHeight="1">
      <c r="B137" s="5" t="s">
        <v>72</v>
      </c>
      <c r="C137" s="2">
        <v>22007</v>
      </c>
      <c r="D137" s="2">
        <v>2008</v>
      </c>
      <c r="E137" s="2">
        <v>2875</v>
      </c>
      <c r="F137" s="2">
        <v>31127</v>
      </c>
      <c r="G137" s="2">
        <v>531</v>
      </c>
      <c r="H137" s="2">
        <v>60</v>
      </c>
      <c r="I137" s="2">
        <v>56</v>
      </c>
      <c r="J137" s="2">
        <v>32</v>
      </c>
      <c r="K137" s="2">
        <v>281</v>
      </c>
      <c r="L137" s="2">
        <v>24</v>
      </c>
    </row>
    <row r="138" spans="2:12" ht="9.75" customHeight="1">
      <c r="B138" s="5" t="s">
        <v>73</v>
      </c>
      <c r="C138" s="2">
        <v>8306</v>
      </c>
      <c r="D138" s="2">
        <v>1028</v>
      </c>
      <c r="E138" s="2">
        <v>1512</v>
      </c>
      <c r="F138" s="2">
        <v>15310</v>
      </c>
      <c r="G138" s="2">
        <v>288</v>
      </c>
      <c r="H138" s="2">
        <v>19</v>
      </c>
      <c r="I138" s="2">
        <v>26</v>
      </c>
      <c r="J138" s="2">
        <v>10</v>
      </c>
      <c r="K138" s="2">
        <v>140</v>
      </c>
      <c r="L138" s="2">
        <v>16</v>
      </c>
    </row>
    <row r="139" spans="2:12" ht="9.75" customHeight="1">
      <c r="B139" s="5" t="s">
        <v>74</v>
      </c>
      <c r="C139" s="2">
        <v>3520</v>
      </c>
      <c r="D139" s="2">
        <v>355</v>
      </c>
      <c r="E139" s="2">
        <v>320</v>
      </c>
      <c r="F139" s="2">
        <v>2281</v>
      </c>
      <c r="G139" s="2">
        <v>60</v>
      </c>
      <c r="H139" s="2">
        <v>16</v>
      </c>
      <c r="I139" s="2">
        <v>9</v>
      </c>
      <c r="J139" s="2">
        <v>5</v>
      </c>
      <c r="K139" s="2">
        <v>30</v>
      </c>
      <c r="L139" s="2">
        <v>5</v>
      </c>
    </row>
    <row r="140" spans="1:12" ht="9.75" customHeight="1">
      <c r="A140" s="3" t="s">
        <v>104</v>
      </c>
      <c r="C140" s="2">
        <v>33833</v>
      </c>
      <c r="D140" s="2">
        <v>3391</v>
      </c>
      <c r="E140" s="2">
        <v>4707</v>
      </c>
      <c r="F140" s="2">
        <v>48718</v>
      </c>
      <c r="G140" s="2">
        <v>879</v>
      </c>
      <c r="H140" s="2">
        <v>95</v>
      </c>
      <c r="I140" s="2">
        <v>91</v>
      </c>
      <c r="J140" s="2">
        <v>47</v>
      </c>
      <c r="K140" s="2">
        <v>451</v>
      </c>
      <c r="L140" s="2">
        <v>45</v>
      </c>
    </row>
    <row r="141" spans="2:12" s="4" customFormat="1" ht="9.75" customHeight="1">
      <c r="B141" s="6" t="s">
        <v>105</v>
      </c>
      <c r="C141" s="4">
        <f>C140/41931</f>
        <v>0.8068731964417734</v>
      </c>
      <c r="D141" s="4">
        <f>D140/41931</f>
        <v>0.08087095466361403</v>
      </c>
      <c r="E141" s="4">
        <f>E140/41931</f>
        <v>0.11225584889461258</v>
      </c>
      <c r="F141" s="4">
        <f>F140/48718</f>
        <v>1</v>
      </c>
      <c r="G141" s="4">
        <f>G140/879</f>
        <v>1</v>
      </c>
      <c r="H141" s="4">
        <f>H140/233</f>
        <v>0.40772532188841204</v>
      </c>
      <c r="I141" s="4">
        <f>I140/233</f>
        <v>0.3905579399141631</v>
      </c>
      <c r="J141" s="4">
        <f>J140/233</f>
        <v>0.2017167381974249</v>
      </c>
      <c r="K141" s="4">
        <f>K140/451</f>
        <v>1</v>
      </c>
      <c r="L141" s="4">
        <f>L140/45</f>
        <v>1</v>
      </c>
    </row>
    <row r="142" spans="2:12" ht="4.5" customHeight="1">
      <c r="B142" s="7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9.75" customHeight="1">
      <c r="A143" s="3" t="s">
        <v>77</v>
      </c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9.75" customHeight="1">
      <c r="B144" s="5" t="s">
        <v>76</v>
      </c>
      <c r="C144" s="2">
        <v>1348</v>
      </c>
      <c r="D144" s="2">
        <v>196</v>
      </c>
      <c r="E144" s="2">
        <v>209</v>
      </c>
      <c r="F144" s="2">
        <v>2098</v>
      </c>
      <c r="G144" s="2">
        <v>77</v>
      </c>
      <c r="H144" s="2">
        <v>6</v>
      </c>
      <c r="I144" s="2">
        <v>20</v>
      </c>
      <c r="J144" s="2">
        <v>10</v>
      </c>
      <c r="K144" s="2">
        <v>28</v>
      </c>
      <c r="L144" s="2">
        <v>7</v>
      </c>
    </row>
    <row r="145" spans="2:12" ht="9.75" customHeight="1">
      <c r="B145" s="5" t="s">
        <v>68</v>
      </c>
      <c r="C145" s="2">
        <v>19630</v>
      </c>
      <c r="D145" s="2">
        <v>2174</v>
      </c>
      <c r="E145" s="2">
        <v>3365</v>
      </c>
      <c r="F145" s="2">
        <v>46347</v>
      </c>
      <c r="G145" s="2">
        <v>732</v>
      </c>
      <c r="H145" s="2">
        <v>53</v>
      </c>
      <c r="I145" s="2">
        <v>69</v>
      </c>
      <c r="J145" s="2">
        <v>27</v>
      </c>
      <c r="K145" s="2">
        <v>270</v>
      </c>
      <c r="L145" s="2">
        <v>32</v>
      </c>
    </row>
    <row r="146" spans="2:12" ht="9.75" customHeight="1">
      <c r="B146" s="5" t="s">
        <v>73</v>
      </c>
      <c r="C146" s="2">
        <v>4669</v>
      </c>
      <c r="D146" s="2">
        <v>582</v>
      </c>
      <c r="E146" s="2">
        <v>849</v>
      </c>
      <c r="F146" s="2">
        <v>6234</v>
      </c>
      <c r="G146" s="2">
        <v>225</v>
      </c>
      <c r="H146" s="2">
        <v>12</v>
      </c>
      <c r="I146" s="2">
        <v>22</v>
      </c>
      <c r="J146" s="2">
        <v>4</v>
      </c>
      <c r="K146" s="2">
        <v>76</v>
      </c>
      <c r="L146" s="2">
        <v>9</v>
      </c>
    </row>
    <row r="147" spans="2:12" ht="9.75" customHeight="1">
      <c r="B147" s="5" t="s">
        <v>70</v>
      </c>
      <c r="C147" s="2">
        <v>9652</v>
      </c>
      <c r="D147" s="2">
        <v>1109</v>
      </c>
      <c r="E147" s="2">
        <v>1258</v>
      </c>
      <c r="F147" s="2">
        <v>17065</v>
      </c>
      <c r="G147" s="2">
        <v>276</v>
      </c>
      <c r="H147" s="2">
        <v>42</v>
      </c>
      <c r="I147" s="2">
        <v>48</v>
      </c>
      <c r="J147" s="2">
        <v>20</v>
      </c>
      <c r="K147" s="2">
        <v>69</v>
      </c>
      <c r="L147" s="2">
        <v>7</v>
      </c>
    </row>
    <row r="148" spans="1:12" ht="9.75" customHeight="1">
      <c r="A148" s="3" t="s">
        <v>104</v>
      </c>
      <c r="C148" s="2">
        <v>35299</v>
      </c>
      <c r="D148" s="2">
        <v>4061</v>
      </c>
      <c r="E148" s="2">
        <v>5681</v>
      </c>
      <c r="F148" s="2">
        <v>71744</v>
      </c>
      <c r="G148" s="2">
        <v>1310</v>
      </c>
      <c r="H148" s="2">
        <v>113</v>
      </c>
      <c r="I148" s="2">
        <v>159</v>
      </c>
      <c r="J148" s="2">
        <v>61</v>
      </c>
      <c r="K148" s="2">
        <v>443</v>
      </c>
      <c r="L148" s="2">
        <v>55</v>
      </c>
    </row>
    <row r="149" spans="2:12" s="4" customFormat="1" ht="9.75" customHeight="1">
      <c r="B149" s="6" t="s">
        <v>105</v>
      </c>
      <c r="C149" s="4">
        <f>C148/45041</f>
        <v>0.7837081769942941</v>
      </c>
      <c r="D149" s="4">
        <f>D148/45041</f>
        <v>0.09016229657423237</v>
      </c>
      <c r="E149" s="4">
        <f>E148/45041</f>
        <v>0.12612952643147354</v>
      </c>
      <c r="F149" s="4">
        <f>F148/71744</f>
        <v>1</v>
      </c>
      <c r="G149" s="4">
        <f>G148/1310</f>
        <v>1</v>
      </c>
      <c r="H149" s="4">
        <f>H148/333</f>
        <v>0.33933933933933935</v>
      </c>
      <c r="I149" s="4">
        <f>I148/333</f>
        <v>0.4774774774774775</v>
      </c>
      <c r="J149" s="4">
        <f>J148/333</f>
        <v>0.1831831831831832</v>
      </c>
      <c r="K149" s="4">
        <f>K148/443</f>
        <v>1</v>
      </c>
      <c r="L149" s="4">
        <f>L148/55</f>
        <v>1</v>
      </c>
    </row>
    <row r="150" spans="2:12" ht="4.5" customHeight="1">
      <c r="B150" s="7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9.75" customHeight="1">
      <c r="A151" s="3" t="s">
        <v>78</v>
      </c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9.75" customHeight="1">
      <c r="B152" s="5" t="s">
        <v>72</v>
      </c>
      <c r="C152" s="2">
        <v>1495</v>
      </c>
      <c r="D152" s="2">
        <v>89</v>
      </c>
      <c r="E152" s="2">
        <v>186</v>
      </c>
      <c r="F152" s="2">
        <v>2048</v>
      </c>
      <c r="G152" s="2">
        <v>25</v>
      </c>
      <c r="H152" s="2">
        <v>1</v>
      </c>
      <c r="I152" s="2">
        <v>5</v>
      </c>
      <c r="J152" s="2">
        <v>2</v>
      </c>
      <c r="K152" s="2">
        <v>12</v>
      </c>
      <c r="L152" s="2">
        <v>0</v>
      </c>
    </row>
    <row r="153" spans="2:12" ht="9.75" customHeight="1">
      <c r="B153" s="5" t="s">
        <v>66</v>
      </c>
      <c r="C153" s="2">
        <v>26995</v>
      </c>
      <c r="D153" s="2">
        <v>1225</v>
      </c>
      <c r="E153" s="2">
        <v>2277</v>
      </c>
      <c r="F153" s="2">
        <v>21608</v>
      </c>
      <c r="G153" s="2">
        <v>334</v>
      </c>
      <c r="H153" s="2">
        <v>182</v>
      </c>
      <c r="I153" s="2">
        <v>208</v>
      </c>
      <c r="J153" s="2">
        <v>98</v>
      </c>
      <c r="K153" s="2">
        <v>234</v>
      </c>
      <c r="L153" s="2">
        <v>36</v>
      </c>
    </row>
    <row r="154" spans="2:12" ht="9.75" customHeight="1">
      <c r="B154" s="5" t="s">
        <v>74</v>
      </c>
      <c r="C154" s="2">
        <v>31829</v>
      </c>
      <c r="D154" s="2">
        <v>2096</v>
      </c>
      <c r="E154" s="2">
        <v>3165</v>
      </c>
      <c r="F154" s="2">
        <v>37314</v>
      </c>
      <c r="G154" s="2">
        <v>490</v>
      </c>
      <c r="H154" s="2">
        <v>159</v>
      </c>
      <c r="I154" s="2">
        <v>177</v>
      </c>
      <c r="J154" s="2">
        <v>76</v>
      </c>
      <c r="K154" s="2">
        <v>348</v>
      </c>
      <c r="L154" s="2">
        <v>46</v>
      </c>
    </row>
    <row r="155" spans="1:12" ht="9.75" customHeight="1">
      <c r="A155" s="3" t="s">
        <v>104</v>
      </c>
      <c r="C155" s="2">
        <v>60319</v>
      </c>
      <c r="D155" s="2">
        <v>3410</v>
      </c>
      <c r="E155" s="2">
        <v>5628</v>
      </c>
      <c r="F155" s="2">
        <v>60970</v>
      </c>
      <c r="G155" s="2">
        <v>849</v>
      </c>
      <c r="H155" s="2">
        <v>342</v>
      </c>
      <c r="I155" s="2">
        <v>390</v>
      </c>
      <c r="J155" s="2">
        <v>176</v>
      </c>
      <c r="K155" s="2">
        <v>594</v>
      </c>
      <c r="L155" s="2">
        <v>82</v>
      </c>
    </row>
    <row r="156" spans="2:12" s="4" customFormat="1" ht="9.75" customHeight="1">
      <c r="B156" s="6" t="s">
        <v>105</v>
      </c>
      <c r="C156" s="4">
        <f>C155/69357</f>
        <v>0.8696887120261834</v>
      </c>
      <c r="D156" s="4">
        <f>D155/69357</f>
        <v>0.04916590971351125</v>
      </c>
      <c r="E156" s="4">
        <f>E155/69357</f>
        <v>0.08114537826030538</v>
      </c>
      <c r="F156" s="4">
        <f>F155/60970</f>
        <v>1</v>
      </c>
      <c r="G156" s="4">
        <f>G155/849</f>
        <v>1</v>
      </c>
      <c r="H156" s="4">
        <f>H155/908</f>
        <v>0.3766519823788546</v>
      </c>
      <c r="I156" s="4">
        <f>I155/908</f>
        <v>0.42951541850220265</v>
      </c>
      <c r="J156" s="4">
        <f>J155/908</f>
        <v>0.19383259911894274</v>
      </c>
      <c r="K156" s="4">
        <f>K155/594</f>
        <v>1</v>
      </c>
      <c r="L156" s="4">
        <f>L155/82</f>
        <v>1</v>
      </c>
    </row>
    <row r="157" spans="2:12" ht="4.5" customHeight="1"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9.75" customHeight="1">
      <c r="A158" s="3" t="s">
        <v>79</v>
      </c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ht="9.75" customHeight="1">
      <c r="B159" s="5" t="s">
        <v>72</v>
      </c>
      <c r="C159" s="2">
        <v>36699</v>
      </c>
      <c r="D159" s="2">
        <v>2787</v>
      </c>
      <c r="E159" s="2">
        <v>3261</v>
      </c>
      <c r="F159" s="2">
        <v>12575</v>
      </c>
      <c r="G159" s="2">
        <v>415</v>
      </c>
      <c r="H159" s="2">
        <v>81</v>
      </c>
      <c r="I159" s="2">
        <v>86</v>
      </c>
      <c r="J159" s="2">
        <v>46</v>
      </c>
      <c r="K159" s="2">
        <v>183</v>
      </c>
      <c r="L159" s="2">
        <v>72</v>
      </c>
    </row>
    <row r="160" spans="1:12" ht="9.75" customHeight="1">
      <c r="A160" s="3" t="s">
        <v>104</v>
      </c>
      <c r="C160" s="2">
        <v>36699</v>
      </c>
      <c r="D160" s="2">
        <v>2787</v>
      </c>
      <c r="E160" s="2">
        <v>3261</v>
      </c>
      <c r="F160" s="2">
        <v>12575</v>
      </c>
      <c r="G160" s="2">
        <v>415</v>
      </c>
      <c r="H160" s="2">
        <v>81</v>
      </c>
      <c r="I160" s="2">
        <v>86</v>
      </c>
      <c r="J160" s="2">
        <v>46</v>
      </c>
      <c r="K160" s="2">
        <v>183</v>
      </c>
      <c r="L160" s="2">
        <v>72</v>
      </c>
    </row>
    <row r="161" spans="2:12" s="4" customFormat="1" ht="9.75" customHeight="1">
      <c r="B161" s="6" t="s">
        <v>105</v>
      </c>
      <c r="C161" s="4">
        <f>C160/42747</f>
        <v>0.8585163871148852</v>
      </c>
      <c r="D161" s="4">
        <f>D160/42747</f>
        <v>0.06519755772334901</v>
      </c>
      <c r="E161" s="4">
        <f>E160/42747</f>
        <v>0.07628605516176573</v>
      </c>
      <c r="F161" s="4">
        <f>F160/12575</f>
        <v>1</v>
      </c>
      <c r="G161" s="4">
        <f>G160/415</f>
        <v>1</v>
      </c>
      <c r="H161" s="4">
        <f>H160/213</f>
        <v>0.38028169014084506</v>
      </c>
      <c r="I161" s="4">
        <f>I160/213</f>
        <v>0.40375586854460094</v>
      </c>
      <c r="J161" s="4">
        <f>J160/213</f>
        <v>0.215962441314554</v>
      </c>
      <c r="K161" s="4">
        <f>K160/183</f>
        <v>1</v>
      </c>
      <c r="L161" s="4">
        <f>L160/72</f>
        <v>1</v>
      </c>
    </row>
    <row r="162" spans="2:12" ht="4.5" customHeight="1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9.75" customHeight="1">
      <c r="A163" s="3" t="s">
        <v>80</v>
      </c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ht="9.75" customHeight="1">
      <c r="B164" s="5" t="s">
        <v>72</v>
      </c>
      <c r="C164" s="2">
        <v>56399</v>
      </c>
      <c r="D164" s="2">
        <v>2984</v>
      </c>
      <c r="E164" s="2">
        <v>5416</v>
      </c>
      <c r="F164" s="2">
        <v>30112</v>
      </c>
      <c r="G164" s="2">
        <v>500</v>
      </c>
      <c r="H164" s="2">
        <v>283</v>
      </c>
      <c r="I164" s="2">
        <v>199</v>
      </c>
      <c r="J164" s="2">
        <v>113</v>
      </c>
      <c r="K164" s="2">
        <v>387</v>
      </c>
      <c r="L164" s="2">
        <v>110</v>
      </c>
    </row>
    <row r="165" spans="1:12" ht="9.75" customHeight="1">
      <c r="A165" s="3" t="s">
        <v>104</v>
      </c>
      <c r="C165" s="2">
        <v>56399</v>
      </c>
      <c r="D165" s="2">
        <v>2984</v>
      </c>
      <c r="E165" s="2">
        <v>5416</v>
      </c>
      <c r="F165" s="2">
        <v>30112</v>
      </c>
      <c r="G165" s="2">
        <v>500</v>
      </c>
      <c r="H165" s="2">
        <v>283</v>
      </c>
      <c r="I165" s="2">
        <v>199</v>
      </c>
      <c r="J165" s="2">
        <v>113</v>
      </c>
      <c r="K165" s="2">
        <v>387</v>
      </c>
      <c r="L165" s="2">
        <v>110</v>
      </c>
    </row>
    <row r="166" spans="2:12" s="4" customFormat="1" ht="9.75" customHeight="1">
      <c r="B166" s="6" t="s">
        <v>105</v>
      </c>
      <c r="C166" s="4">
        <f>C165/64799</f>
        <v>0.8703683698822513</v>
      </c>
      <c r="D166" s="4">
        <f>D165/64799</f>
        <v>0.04605009336563836</v>
      </c>
      <c r="E166" s="4">
        <f>E165/64799</f>
        <v>0.08358153675211037</v>
      </c>
      <c r="F166" s="4">
        <f>F165/30112</f>
        <v>1</v>
      </c>
      <c r="G166" s="4">
        <f>G165/500</f>
        <v>1</v>
      </c>
      <c r="H166" s="4">
        <f>H165/595</f>
        <v>0.4756302521008403</v>
      </c>
      <c r="I166" s="4">
        <f>I165/595</f>
        <v>0.334453781512605</v>
      </c>
      <c r="J166" s="4">
        <f>J165/595</f>
        <v>0.1899159663865546</v>
      </c>
      <c r="K166" s="4">
        <f>K165/387</f>
        <v>1</v>
      </c>
      <c r="L166" s="4">
        <f>L165/110</f>
        <v>1</v>
      </c>
    </row>
    <row r="167" spans="2:12" ht="4.5" customHeight="1">
      <c r="B167" s="7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9.75" customHeight="1">
      <c r="A168" s="3" t="s">
        <v>81</v>
      </c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ht="9.75" customHeight="1">
      <c r="B169" s="5" t="s">
        <v>72</v>
      </c>
      <c r="C169" s="2">
        <v>30728</v>
      </c>
      <c r="D169" s="2">
        <v>2163</v>
      </c>
      <c r="E169" s="2">
        <v>2588</v>
      </c>
      <c r="F169" s="2">
        <v>7123</v>
      </c>
      <c r="G169" s="2">
        <v>278</v>
      </c>
      <c r="H169" s="2">
        <v>120</v>
      </c>
      <c r="I169" s="2">
        <v>89</v>
      </c>
      <c r="J169" s="2">
        <v>41</v>
      </c>
      <c r="K169" s="2">
        <v>104</v>
      </c>
      <c r="L169" s="2">
        <v>98</v>
      </c>
    </row>
    <row r="170" spans="1:12" ht="9.75" customHeight="1">
      <c r="A170" s="3" t="s">
        <v>104</v>
      </c>
      <c r="C170" s="2">
        <v>30728</v>
      </c>
      <c r="D170" s="2">
        <v>2163</v>
      </c>
      <c r="E170" s="2">
        <v>2588</v>
      </c>
      <c r="F170" s="2">
        <v>7123</v>
      </c>
      <c r="G170" s="2">
        <v>278</v>
      </c>
      <c r="H170" s="2">
        <v>120</v>
      </c>
      <c r="I170" s="2">
        <v>89</v>
      </c>
      <c r="J170" s="2">
        <v>41</v>
      </c>
      <c r="K170" s="2">
        <v>104</v>
      </c>
      <c r="L170" s="2">
        <v>98</v>
      </c>
    </row>
    <row r="171" spans="2:12" s="4" customFormat="1" ht="9.75" customHeight="1">
      <c r="B171" s="6" t="s">
        <v>105</v>
      </c>
      <c r="C171" s="4">
        <f>C170/35479</f>
        <v>0.8660897995997633</v>
      </c>
      <c r="D171" s="4">
        <f>D170/35479</f>
        <v>0.06096564164717157</v>
      </c>
      <c r="E171" s="4">
        <f>E170/35479</f>
        <v>0.0729445587530652</v>
      </c>
      <c r="F171" s="4">
        <f>F170/7123</f>
        <v>1</v>
      </c>
      <c r="G171" s="4">
        <f>G170/278</f>
        <v>1</v>
      </c>
      <c r="H171" s="4">
        <f>H170/250</f>
        <v>0.48</v>
      </c>
      <c r="I171" s="4">
        <f>I170/250</f>
        <v>0.356</v>
      </c>
      <c r="J171" s="4">
        <f>J170/250</f>
        <v>0.164</v>
      </c>
      <c r="K171" s="4">
        <f>K170/104</f>
        <v>1</v>
      </c>
      <c r="L171" s="4">
        <f>L170/98</f>
        <v>1</v>
      </c>
    </row>
    <row r="172" spans="2:12" ht="4.5" customHeight="1"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9.75" customHeight="1">
      <c r="A173" s="3" t="s">
        <v>82</v>
      </c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ht="9.75" customHeight="1">
      <c r="B174" s="5" t="s">
        <v>72</v>
      </c>
      <c r="C174" s="2">
        <v>58221</v>
      </c>
      <c r="D174" s="2">
        <v>1805</v>
      </c>
      <c r="E174" s="2">
        <v>4745</v>
      </c>
      <c r="F174" s="2">
        <v>22017</v>
      </c>
      <c r="G174" s="2">
        <v>386</v>
      </c>
      <c r="H174" s="2">
        <v>166</v>
      </c>
      <c r="I174" s="2">
        <v>176</v>
      </c>
      <c r="J174" s="2">
        <v>68</v>
      </c>
      <c r="K174" s="2">
        <v>294</v>
      </c>
      <c r="L174" s="2">
        <v>69</v>
      </c>
    </row>
    <row r="175" spans="2:12" ht="9.75" customHeight="1">
      <c r="B175" s="5" t="s">
        <v>74</v>
      </c>
      <c r="C175" s="2">
        <v>8767</v>
      </c>
      <c r="D175" s="2">
        <v>630</v>
      </c>
      <c r="E175" s="2">
        <v>908</v>
      </c>
      <c r="F175" s="2">
        <v>4731</v>
      </c>
      <c r="G175" s="2">
        <v>120</v>
      </c>
      <c r="H175" s="2">
        <v>21</v>
      </c>
      <c r="I175" s="2">
        <v>21</v>
      </c>
      <c r="J175" s="2">
        <v>10</v>
      </c>
      <c r="K175" s="2">
        <v>46</v>
      </c>
      <c r="L175" s="2">
        <v>24</v>
      </c>
    </row>
    <row r="176" spans="1:12" ht="9.75" customHeight="1">
      <c r="A176" s="3" t="s">
        <v>104</v>
      </c>
      <c r="C176" s="2">
        <v>66988</v>
      </c>
      <c r="D176" s="2">
        <v>2435</v>
      </c>
      <c r="E176" s="2">
        <v>5653</v>
      </c>
      <c r="F176" s="2">
        <v>26748</v>
      </c>
      <c r="G176" s="2">
        <v>506</v>
      </c>
      <c r="H176" s="2">
        <v>187</v>
      </c>
      <c r="I176" s="2">
        <v>197</v>
      </c>
      <c r="J176" s="2">
        <v>78</v>
      </c>
      <c r="K176" s="2">
        <v>340</v>
      </c>
      <c r="L176" s="2">
        <v>93</v>
      </c>
    </row>
    <row r="177" spans="2:12" s="4" customFormat="1" ht="9.75" customHeight="1">
      <c r="B177" s="6" t="s">
        <v>105</v>
      </c>
      <c r="C177" s="4">
        <f>C176/75076</f>
        <v>0.8922691672438595</v>
      </c>
      <c r="D177" s="4">
        <f>D176/75076</f>
        <v>0.03243380041557888</v>
      </c>
      <c r="E177" s="4">
        <f>E176/75076</f>
        <v>0.07529703234056156</v>
      </c>
      <c r="F177" s="4">
        <f>F176/26748</f>
        <v>1</v>
      </c>
      <c r="G177" s="4">
        <f>G176/506</f>
        <v>1</v>
      </c>
      <c r="H177" s="4">
        <f>H176/462</f>
        <v>0.40476190476190477</v>
      </c>
      <c r="I177" s="4">
        <f>I176/462</f>
        <v>0.4264069264069264</v>
      </c>
      <c r="J177" s="4">
        <f>J176/462</f>
        <v>0.16883116883116883</v>
      </c>
      <c r="K177" s="4">
        <f>K176/340</f>
        <v>1</v>
      </c>
      <c r="L177" s="4">
        <f>L176/93</f>
        <v>1</v>
      </c>
    </row>
    <row r="178" spans="2:12" ht="4.5" customHeight="1"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9.75" customHeight="1">
      <c r="A179" s="3" t="s">
        <v>83</v>
      </c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ht="9.75" customHeight="1">
      <c r="B180" s="5" t="s">
        <v>72</v>
      </c>
      <c r="C180" s="2">
        <v>37659</v>
      </c>
      <c r="D180" s="2">
        <v>2919</v>
      </c>
      <c r="E180" s="2">
        <v>3391</v>
      </c>
      <c r="F180" s="2">
        <v>13048</v>
      </c>
      <c r="G180" s="2">
        <v>460</v>
      </c>
      <c r="H180" s="2">
        <v>62</v>
      </c>
      <c r="I180" s="2">
        <v>46</v>
      </c>
      <c r="J180" s="2">
        <v>27</v>
      </c>
      <c r="K180" s="2">
        <v>133</v>
      </c>
      <c r="L180" s="2">
        <v>102</v>
      </c>
    </row>
    <row r="181" spans="1:12" ht="9.75" customHeight="1">
      <c r="A181" s="3" t="s">
        <v>104</v>
      </c>
      <c r="C181" s="2">
        <v>37659</v>
      </c>
      <c r="D181" s="2">
        <v>2919</v>
      </c>
      <c r="E181" s="2">
        <v>3391</v>
      </c>
      <c r="F181" s="2">
        <v>13048</v>
      </c>
      <c r="G181" s="2">
        <v>460</v>
      </c>
      <c r="H181" s="2">
        <v>62</v>
      </c>
      <c r="I181" s="2">
        <v>46</v>
      </c>
      <c r="J181" s="2">
        <v>27</v>
      </c>
      <c r="K181" s="2">
        <v>133</v>
      </c>
      <c r="L181" s="2">
        <v>102</v>
      </c>
    </row>
    <row r="182" spans="2:12" s="4" customFormat="1" ht="9.75" customHeight="1">
      <c r="B182" s="6" t="s">
        <v>105</v>
      </c>
      <c r="C182" s="4">
        <f>C181/43969</f>
        <v>0.8564897996315586</v>
      </c>
      <c r="D182" s="4">
        <f>D181/43969</f>
        <v>0.0663876822306625</v>
      </c>
      <c r="E182" s="4">
        <f>E181/43969</f>
        <v>0.07712251813777889</v>
      </c>
      <c r="F182" s="4">
        <f>F181/13048</f>
        <v>1</v>
      </c>
      <c r="G182" s="4">
        <f>G181/460</f>
        <v>1</v>
      </c>
      <c r="H182" s="4">
        <f>H181/135</f>
        <v>0.45925925925925926</v>
      </c>
      <c r="I182" s="4">
        <f>I181/135</f>
        <v>0.34074074074074073</v>
      </c>
      <c r="J182" s="4">
        <f>J181/135</f>
        <v>0.2</v>
      </c>
      <c r="K182" s="4">
        <f>K181/133</f>
        <v>1</v>
      </c>
      <c r="L182" s="4">
        <f>L181/102</f>
        <v>1</v>
      </c>
    </row>
    <row r="183" spans="2:12" ht="4.5" customHeight="1">
      <c r="B183" s="7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9.75" customHeight="1">
      <c r="A184" s="3" t="s">
        <v>84</v>
      </c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ht="9.75" customHeight="1">
      <c r="B185" s="5" t="s">
        <v>72</v>
      </c>
      <c r="C185" s="2">
        <v>45592</v>
      </c>
      <c r="D185" s="2">
        <v>3224</v>
      </c>
      <c r="E185" s="2">
        <v>2993</v>
      </c>
      <c r="F185" s="2">
        <v>11612</v>
      </c>
      <c r="G185" s="2">
        <v>406</v>
      </c>
      <c r="H185" s="2">
        <v>55</v>
      </c>
      <c r="I185" s="2">
        <v>45</v>
      </c>
      <c r="J185" s="2">
        <v>35</v>
      </c>
      <c r="K185" s="2">
        <v>164</v>
      </c>
      <c r="L185" s="2">
        <v>72</v>
      </c>
    </row>
    <row r="186" spans="1:12" ht="9.75" customHeight="1">
      <c r="A186" s="3" t="s">
        <v>104</v>
      </c>
      <c r="C186" s="2">
        <v>45592</v>
      </c>
      <c r="D186" s="2">
        <v>3224</v>
      </c>
      <c r="E186" s="2">
        <v>2993</v>
      </c>
      <c r="F186" s="2">
        <v>11612</v>
      </c>
      <c r="G186" s="2">
        <v>406</v>
      </c>
      <c r="H186" s="2">
        <v>55</v>
      </c>
      <c r="I186" s="2">
        <v>45</v>
      </c>
      <c r="J186" s="2">
        <v>35</v>
      </c>
      <c r="K186" s="2">
        <v>164</v>
      </c>
      <c r="L186" s="2">
        <v>72</v>
      </c>
    </row>
    <row r="187" spans="2:12" s="4" customFormat="1" ht="9.75" customHeight="1">
      <c r="B187" s="6" t="s">
        <v>105</v>
      </c>
      <c r="C187" s="4">
        <f>C186/51809</f>
        <v>0.8800015441332587</v>
      </c>
      <c r="D187" s="4">
        <f>D186/51809</f>
        <v>0.0622285703256191</v>
      </c>
      <c r="E187" s="4">
        <f>E186/51809</f>
        <v>0.057769885541122196</v>
      </c>
      <c r="F187" s="4">
        <f>F186/11612</f>
        <v>1</v>
      </c>
      <c r="G187" s="4">
        <f>G186/406</f>
        <v>1</v>
      </c>
      <c r="H187" s="4">
        <f>H186/135</f>
        <v>0.4074074074074074</v>
      </c>
      <c r="I187" s="4">
        <f>I186/135</f>
        <v>0.3333333333333333</v>
      </c>
      <c r="J187" s="4">
        <f>J186/135</f>
        <v>0.25925925925925924</v>
      </c>
      <c r="K187" s="4">
        <f>K186/164</f>
        <v>1</v>
      </c>
      <c r="L187" s="4">
        <f>L186/72</f>
        <v>1</v>
      </c>
    </row>
    <row r="188" spans="2:12" ht="4.5" customHeight="1">
      <c r="B188" s="7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9.75" customHeight="1">
      <c r="A189" s="3" t="s">
        <v>85</v>
      </c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ht="9.75" customHeight="1">
      <c r="B190" s="5" t="s">
        <v>72</v>
      </c>
      <c r="C190" s="2">
        <v>58744</v>
      </c>
      <c r="D190" s="2">
        <v>2991</v>
      </c>
      <c r="E190" s="2">
        <v>3799</v>
      </c>
      <c r="F190" s="2">
        <v>7121</v>
      </c>
      <c r="G190" s="2">
        <v>338</v>
      </c>
      <c r="H190" s="2">
        <v>124</v>
      </c>
      <c r="I190" s="2">
        <v>105</v>
      </c>
      <c r="J190" s="2">
        <v>52</v>
      </c>
      <c r="K190" s="2">
        <v>157</v>
      </c>
      <c r="L190" s="2">
        <v>80</v>
      </c>
    </row>
    <row r="191" spans="1:12" ht="9.75" customHeight="1">
      <c r="A191" s="3" t="s">
        <v>104</v>
      </c>
      <c r="C191" s="2">
        <v>58744</v>
      </c>
      <c r="D191" s="2">
        <v>2991</v>
      </c>
      <c r="E191" s="2">
        <v>3799</v>
      </c>
      <c r="F191" s="2">
        <v>7121</v>
      </c>
      <c r="G191" s="2">
        <v>338</v>
      </c>
      <c r="H191" s="2">
        <v>124</v>
      </c>
      <c r="I191" s="2">
        <v>105</v>
      </c>
      <c r="J191" s="2">
        <v>52</v>
      </c>
      <c r="K191" s="2">
        <v>157</v>
      </c>
      <c r="L191" s="2">
        <v>80</v>
      </c>
    </row>
    <row r="192" spans="2:12" s="4" customFormat="1" ht="9.75" customHeight="1">
      <c r="B192" s="6" t="s">
        <v>105</v>
      </c>
      <c r="C192" s="4">
        <f>C191/65534</f>
        <v>0.8963896603289895</v>
      </c>
      <c r="D192" s="4">
        <f>D191/65534</f>
        <v>0.0456404309213538</v>
      </c>
      <c r="E192" s="4">
        <f>E191/65534</f>
        <v>0.057969908749656664</v>
      </c>
      <c r="F192" s="4">
        <f>F191/7121</f>
        <v>1</v>
      </c>
      <c r="G192" s="4">
        <f>G191/338</f>
        <v>1</v>
      </c>
      <c r="H192" s="4">
        <f>H191/281</f>
        <v>0.4412811387900356</v>
      </c>
      <c r="I192" s="4">
        <f>I191/281</f>
        <v>0.3736654804270463</v>
      </c>
      <c r="J192" s="4">
        <f>J191/281</f>
        <v>0.18505338078291814</v>
      </c>
      <c r="K192" s="4">
        <f>K191/157</f>
        <v>1</v>
      </c>
      <c r="L192" s="4">
        <f>L191/80</f>
        <v>1</v>
      </c>
    </row>
    <row r="193" spans="2:12" ht="4.5" customHeight="1"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9.75" customHeight="1">
      <c r="A194" s="3" t="s">
        <v>86</v>
      </c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9.75" customHeight="1">
      <c r="B195" s="5" t="s">
        <v>72</v>
      </c>
      <c r="C195" s="2">
        <v>40912</v>
      </c>
      <c r="D195" s="2">
        <v>3167</v>
      </c>
      <c r="E195" s="2">
        <v>4199</v>
      </c>
      <c r="F195" s="2">
        <v>26921</v>
      </c>
      <c r="G195" s="2">
        <v>546</v>
      </c>
      <c r="H195" s="2">
        <v>158</v>
      </c>
      <c r="I195" s="2">
        <v>132</v>
      </c>
      <c r="J195" s="2">
        <v>70</v>
      </c>
      <c r="K195" s="2">
        <v>253</v>
      </c>
      <c r="L195" s="2">
        <v>95</v>
      </c>
    </row>
    <row r="196" spans="1:12" ht="9.75" customHeight="1">
      <c r="A196" s="3" t="s">
        <v>104</v>
      </c>
      <c r="C196" s="2">
        <v>40912</v>
      </c>
      <c r="D196" s="2">
        <v>3167</v>
      </c>
      <c r="E196" s="2">
        <v>4199</v>
      </c>
      <c r="F196" s="2">
        <v>26921</v>
      </c>
      <c r="G196" s="2">
        <v>546</v>
      </c>
      <c r="H196" s="2">
        <v>158</v>
      </c>
      <c r="I196" s="2">
        <v>132</v>
      </c>
      <c r="J196" s="2">
        <v>70</v>
      </c>
      <c r="K196" s="2">
        <v>253</v>
      </c>
      <c r="L196" s="2">
        <v>95</v>
      </c>
    </row>
    <row r="197" spans="2:12" s="4" customFormat="1" ht="9.75" customHeight="1">
      <c r="B197" s="6" t="s">
        <v>105</v>
      </c>
      <c r="C197" s="4">
        <f>C196/48278</f>
        <v>0.8474253283068892</v>
      </c>
      <c r="D197" s="4">
        <f>D196/48278</f>
        <v>0.06559923774804259</v>
      </c>
      <c r="E197" s="4">
        <f>E196/48278</f>
        <v>0.08697543394506815</v>
      </c>
      <c r="F197" s="4">
        <f>F196/26921</f>
        <v>1</v>
      </c>
      <c r="G197" s="4">
        <f>G196/546</f>
        <v>1</v>
      </c>
      <c r="H197" s="4">
        <f>H196/360</f>
        <v>0.4388888888888889</v>
      </c>
      <c r="I197" s="4">
        <f>I196/360</f>
        <v>0.36666666666666664</v>
      </c>
      <c r="J197" s="4">
        <f>J196/360</f>
        <v>0.19444444444444445</v>
      </c>
      <c r="K197" s="4">
        <f>K196/253</f>
        <v>1</v>
      </c>
      <c r="L197" s="4">
        <f>L196/95</f>
        <v>1</v>
      </c>
    </row>
    <row r="198" spans="2:12" ht="4.5" customHeight="1"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9.75" customHeight="1">
      <c r="A199" s="3" t="s">
        <v>87</v>
      </c>
      <c r="B199" s="7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ht="9.75" customHeight="1">
      <c r="B200" s="5" t="s">
        <v>72</v>
      </c>
      <c r="C200" s="2">
        <v>57074</v>
      </c>
      <c r="D200" s="2">
        <v>3094</v>
      </c>
      <c r="E200" s="2">
        <v>5901</v>
      </c>
      <c r="F200" s="2">
        <v>28681</v>
      </c>
      <c r="G200" s="2">
        <v>586</v>
      </c>
      <c r="H200" s="2">
        <v>178</v>
      </c>
      <c r="I200" s="2">
        <v>204</v>
      </c>
      <c r="J200" s="2">
        <v>92</v>
      </c>
      <c r="K200" s="2">
        <v>372</v>
      </c>
      <c r="L200" s="2">
        <v>98</v>
      </c>
    </row>
    <row r="201" spans="1:12" ht="9.75" customHeight="1">
      <c r="A201" s="3" t="s">
        <v>104</v>
      </c>
      <c r="C201" s="2">
        <v>57074</v>
      </c>
      <c r="D201" s="2">
        <v>3094</v>
      </c>
      <c r="E201" s="2">
        <v>5901</v>
      </c>
      <c r="F201" s="2">
        <v>28681</v>
      </c>
      <c r="G201" s="2">
        <v>586</v>
      </c>
      <c r="H201" s="2">
        <v>178</v>
      </c>
      <c r="I201" s="2">
        <v>204</v>
      </c>
      <c r="J201" s="2">
        <v>92</v>
      </c>
      <c r="K201" s="2">
        <v>372</v>
      </c>
      <c r="L201" s="2">
        <v>98</v>
      </c>
    </row>
    <row r="202" spans="2:12" s="4" customFormat="1" ht="9.75" customHeight="1">
      <c r="B202" s="6" t="s">
        <v>105</v>
      </c>
      <c r="C202" s="4">
        <f>C201/66069</f>
        <v>0.8638544551907854</v>
      </c>
      <c r="D202" s="4">
        <f>D201/66069</f>
        <v>0.046829829420757085</v>
      </c>
      <c r="E202" s="4">
        <f>E201/66069</f>
        <v>0.08931571538845752</v>
      </c>
      <c r="F202" s="4">
        <f>F201/28681</f>
        <v>1</v>
      </c>
      <c r="G202" s="4">
        <f>G201/586</f>
        <v>1</v>
      </c>
      <c r="H202" s="4">
        <f>H201/474</f>
        <v>0.3755274261603376</v>
      </c>
      <c r="I202" s="4">
        <f>I201/474</f>
        <v>0.43037974683544306</v>
      </c>
      <c r="J202" s="4">
        <f>J201/474</f>
        <v>0.1940928270042194</v>
      </c>
      <c r="K202" s="4">
        <f>K201/372</f>
        <v>1</v>
      </c>
      <c r="L202" s="4">
        <f>L201/98</f>
        <v>1</v>
      </c>
    </row>
    <row r="203" spans="2:12" ht="4.5" customHeight="1"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9.75" customHeight="1">
      <c r="A204" s="3" t="s">
        <v>89</v>
      </c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ht="9.75" customHeight="1">
      <c r="B205" s="5" t="s">
        <v>72</v>
      </c>
      <c r="C205" s="2">
        <v>21298</v>
      </c>
      <c r="D205" s="2">
        <v>1512</v>
      </c>
      <c r="E205" s="2">
        <v>2468</v>
      </c>
      <c r="F205" s="2">
        <v>27072</v>
      </c>
      <c r="G205" s="2">
        <v>339</v>
      </c>
      <c r="H205" s="2">
        <v>80</v>
      </c>
      <c r="I205" s="2">
        <v>76</v>
      </c>
      <c r="J205" s="2">
        <v>39</v>
      </c>
      <c r="K205" s="2">
        <v>196</v>
      </c>
      <c r="L205" s="2">
        <v>31</v>
      </c>
    </row>
    <row r="206" spans="2:12" ht="9.75" customHeight="1">
      <c r="B206" s="5" t="s">
        <v>88</v>
      </c>
      <c r="C206" s="2">
        <v>8426</v>
      </c>
      <c r="D206" s="2">
        <v>838</v>
      </c>
      <c r="E206" s="2">
        <v>1034</v>
      </c>
      <c r="F206" s="2">
        <v>18071</v>
      </c>
      <c r="G206" s="2">
        <v>205</v>
      </c>
      <c r="H206" s="2">
        <v>26</v>
      </c>
      <c r="I206" s="2">
        <v>28</v>
      </c>
      <c r="J206" s="2">
        <v>13</v>
      </c>
      <c r="K206" s="2">
        <v>102</v>
      </c>
      <c r="L206" s="2">
        <v>28</v>
      </c>
    </row>
    <row r="207" spans="2:12" ht="9.75" customHeight="1">
      <c r="B207" s="5" t="s">
        <v>73</v>
      </c>
      <c r="C207" s="2">
        <v>4143</v>
      </c>
      <c r="D207" s="2">
        <v>404</v>
      </c>
      <c r="E207" s="2">
        <v>430</v>
      </c>
      <c r="F207" s="2">
        <v>5348</v>
      </c>
      <c r="G207" s="2">
        <v>60</v>
      </c>
      <c r="H207" s="2">
        <v>10</v>
      </c>
      <c r="I207" s="2">
        <v>9</v>
      </c>
      <c r="J207" s="2">
        <v>8</v>
      </c>
      <c r="K207" s="2">
        <v>34</v>
      </c>
      <c r="L207" s="2">
        <v>9</v>
      </c>
    </row>
    <row r="208" spans="1:12" ht="9.75" customHeight="1">
      <c r="A208" s="3" t="s">
        <v>104</v>
      </c>
      <c r="C208" s="2">
        <v>33867</v>
      </c>
      <c r="D208" s="2">
        <v>2754</v>
      </c>
      <c r="E208" s="2">
        <v>3932</v>
      </c>
      <c r="F208" s="2">
        <v>50491</v>
      </c>
      <c r="G208" s="2">
        <v>604</v>
      </c>
      <c r="H208" s="2">
        <v>116</v>
      </c>
      <c r="I208" s="2">
        <v>113</v>
      </c>
      <c r="J208" s="2">
        <v>60</v>
      </c>
      <c r="K208" s="2">
        <v>332</v>
      </c>
      <c r="L208" s="2">
        <v>68</v>
      </c>
    </row>
    <row r="209" spans="2:12" s="4" customFormat="1" ht="9.75" customHeight="1">
      <c r="B209" s="6" t="s">
        <v>105</v>
      </c>
      <c r="C209" s="4">
        <f>C208/40553</f>
        <v>0.8351293369171208</v>
      </c>
      <c r="D209" s="4">
        <f>D208/40553</f>
        <v>0.06791112864646265</v>
      </c>
      <c r="E209" s="4">
        <f>E208/40553</f>
        <v>0.09695953443641654</v>
      </c>
      <c r="F209" s="4">
        <f>F208/50491</f>
        <v>1</v>
      </c>
      <c r="G209" s="4">
        <f>G208/604</f>
        <v>1</v>
      </c>
      <c r="H209" s="4">
        <f>H208/289</f>
        <v>0.4013840830449827</v>
      </c>
      <c r="I209" s="4">
        <f>I208/289</f>
        <v>0.39100346020761245</v>
      </c>
      <c r="J209" s="4">
        <f>J208/289</f>
        <v>0.20761245674740483</v>
      </c>
      <c r="K209" s="4">
        <f>K208/332</f>
        <v>1</v>
      </c>
      <c r="L209" s="4">
        <f>L208/68</f>
        <v>1</v>
      </c>
    </row>
    <row r="210" spans="2:12" ht="4.5" customHeight="1">
      <c r="B210" s="7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9.75" customHeight="1">
      <c r="A211" s="3" t="s">
        <v>90</v>
      </c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ht="9.75" customHeight="1">
      <c r="B212" s="5" t="s">
        <v>72</v>
      </c>
      <c r="C212" s="2">
        <v>37712</v>
      </c>
      <c r="D212" s="2">
        <v>2849</v>
      </c>
      <c r="E212" s="2">
        <v>3771</v>
      </c>
      <c r="F212" s="2">
        <v>14481</v>
      </c>
      <c r="G212" s="2">
        <v>350</v>
      </c>
      <c r="H212" s="2">
        <v>38</v>
      </c>
      <c r="I212" s="2">
        <v>43</v>
      </c>
      <c r="J212" s="2">
        <v>29</v>
      </c>
      <c r="K212" s="2">
        <v>111</v>
      </c>
      <c r="L212" s="2">
        <v>70</v>
      </c>
    </row>
    <row r="213" spans="1:12" ht="9.75" customHeight="1">
      <c r="A213" s="3" t="s">
        <v>104</v>
      </c>
      <c r="C213" s="2">
        <v>37712</v>
      </c>
      <c r="D213" s="2">
        <v>2849</v>
      </c>
      <c r="E213" s="2">
        <v>3771</v>
      </c>
      <c r="F213" s="2">
        <v>14481</v>
      </c>
      <c r="G213" s="2">
        <v>350</v>
      </c>
      <c r="H213" s="2">
        <v>38</v>
      </c>
      <c r="I213" s="2">
        <v>43</v>
      </c>
      <c r="J213" s="2">
        <v>29</v>
      </c>
      <c r="K213" s="2">
        <v>111</v>
      </c>
      <c r="L213" s="2">
        <v>70</v>
      </c>
    </row>
    <row r="214" spans="2:12" s="4" customFormat="1" ht="9.75" customHeight="1">
      <c r="B214" s="6" t="s">
        <v>105</v>
      </c>
      <c r="C214" s="4">
        <f>C213/44332</f>
        <v>0.8506722006676892</v>
      </c>
      <c r="D214" s="4">
        <f>D213/44332</f>
        <v>0.06426509067941893</v>
      </c>
      <c r="E214" s="4">
        <f>E213/44332</f>
        <v>0.08506270865289181</v>
      </c>
      <c r="F214" s="4">
        <f>F213/14481</f>
        <v>1</v>
      </c>
      <c r="G214" s="4">
        <f>G213/350</f>
        <v>1</v>
      </c>
      <c r="H214" s="4">
        <f>H213/110</f>
        <v>0.34545454545454546</v>
      </c>
      <c r="I214" s="4">
        <f>I213/110</f>
        <v>0.39090909090909093</v>
      </c>
      <c r="J214" s="4">
        <f>J213/110</f>
        <v>0.2636363636363636</v>
      </c>
      <c r="K214" s="4">
        <f>K213/111</f>
        <v>1</v>
      </c>
      <c r="L214" s="4">
        <f>L213/70</f>
        <v>1</v>
      </c>
    </row>
    <row r="215" spans="2:12" ht="4.5" customHeight="1">
      <c r="B215" s="7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9.75" customHeight="1">
      <c r="A216" s="3" t="s">
        <v>92</v>
      </c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9.75" customHeight="1">
      <c r="B217" s="5" t="s">
        <v>91</v>
      </c>
      <c r="C217" s="2">
        <v>13140</v>
      </c>
      <c r="D217" s="2">
        <v>1247</v>
      </c>
      <c r="E217" s="2">
        <v>1625</v>
      </c>
      <c r="F217" s="2">
        <v>13696</v>
      </c>
      <c r="G217" s="2">
        <v>260</v>
      </c>
      <c r="H217" s="2">
        <v>41</v>
      </c>
      <c r="I217" s="2">
        <v>48</v>
      </c>
      <c r="J217" s="2">
        <v>15</v>
      </c>
      <c r="K217" s="2">
        <v>104</v>
      </c>
      <c r="L217" s="2">
        <v>43</v>
      </c>
    </row>
    <row r="218" spans="2:12" ht="9.75" customHeight="1">
      <c r="B218" s="5" t="s">
        <v>73</v>
      </c>
      <c r="C218" s="2">
        <v>20350</v>
      </c>
      <c r="D218" s="2">
        <v>1673</v>
      </c>
      <c r="E218" s="2">
        <v>2561</v>
      </c>
      <c r="F218" s="2">
        <v>30079</v>
      </c>
      <c r="G218" s="2">
        <v>429</v>
      </c>
      <c r="H218" s="2">
        <v>65</v>
      </c>
      <c r="I218" s="2">
        <v>71</v>
      </c>
      <c r="J218" s="2">
        <v>45</v>
      </c>
      <c r="K218" s="2">
        <v>209</v>
      </c>
      <c r="L218" s="2">
        <v>48</v>
      </c>
    </row>
    <row r="219" spans="1:12" ht="9.75" customHeight="1">
      <c r="A219" s="3" t="s">
        <v>104</v>
      </c>
      <c r="C219" s="2">
        <v>33490</v>
      </c>
      <c r="D219" s="2">
        <v>2920</v>
      </c>
      <c r="E219" s="2">
        <v>4186</v>
      </c>
      <c r="F219" s="2">
        <v>43775</v>
      </c>
      <c r="G219" s="2">
        <v>689</v>
      </c>
      <c r="H219" s="2">
        <v>106</v>
      </c>
      <c r="I219" s="2">
        <v>119</v>
      </c>
      <c r="J219" s="2">
        <v>60</v>
      </c>
      <c r="K219" s="2">
        <v>313</v>
      </c>
      <c r="L219" s="2">
        <v>91</v>
      </c>
    </row>
    <row r="220" spans="2:12" s="4" customFormat="1" ht="9.75" customHeight="1">
      <c r="B220" s="6" t="s">
        <v>105</v>
      </c>
      <c r="C220" s="4">
        <f>C219/40596</f>
        <v>0.8249581239530989</v>
      </c>
      <c r="D220" s="4">
        <f>D219/40596</f>
        <v>0.07192826879495517</v>
      </c>
      <c r="E220" s="4">
        <f>E219/40596</f>
        <v>0.103113607251946</v>
      </c>
      <c r="F220" s="4">
        <f>F219/43775</f>
        <v>1</v>
      </c>
      <c r="G220" s="4">
        <f>G219/689</f>
        <v>1</v>
      </c>
      <c r="H220" s="4">
        <f>H219/285</f>
        <v>0.3719298245614035</v>
      </c>
      <c r="I220" s="4">
        <f>I219/285</f>
        <v>0.41754385964912283</v>
      </c>
      <c r="J220" s="4">
        <f>J219/285</f>
        <v>0.21052631578947367</v>
      </c>
      <c r="K220" s="4">
        <f>K219/313</f>
        <v>1</v>
      </c>
      <c r="L220" s="4">
        <f>L219/91</f>
        <v>1</v>
      </c>
    </row>
    <row r="221" spans="2:12" ht="4.5" customHeight="1">
      <c r="B221" s="7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9.75" customHeight="1">
      <c r="A222" s="3" t="s">
        <v>93</v>
      </c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ht="9.75" customHeight="1">
      <c r="B223" s="5" t="s">
        <v>72</v>
      </c>
      <c r="C223" s="2">
        <v>5059</v>
      </c>
      <c r="D223" s="2">
        <v>466</v>
      </c>
      <c r="E223" s="2">
        <v>482</v>
      </c>
      <c r="F223" s="2">
        <v>1939</v>
      </c>
      <c r="G223" s="2">
        <v>62</v>
      </c>
      <c r="H223" s="2">
        <v>11</v>
      </c>
      <c r="I223" s="2">
        <v>8</v>
      </c>
      <c r="J223" s="2">
        <v>5</v>
      </c>
      <c r="K223" s="2">
        <v>16</v>
      </c>
      <c r="L223" s="2">
        <v>11</v>
      </c>
    </row>
    <row r="224" spans="2:12" ht="9.75" customHeight="1">
      <c r="B224" s="5" t="s">
        <v>73</v>
      </c>
      <c r="C224" s="2">
        <v>22629</v>
      </c>
      <c r="D224" s="2">
        <v>2092</v>
      </c>
      <c r="E224" s="2">
        <v>2687</v>
      </c>
      <c r="F224" s="2">
        <v>11604</v>
      </c>
      <c r="G224" s="2">
        <v>266</v>
      </c>
      <c r="H224" s="2">
        <v>31</v>
      </c>
      <c r="I224" s="2">
        <v>41</v>
      </c>
      <c r="J224" s="2">
        <v>16</v>
      </c>
      <c r="K224" s="2">
        <v>98</v>
      </c>
      <c r="L224" s="2">
        <v>66</v>
      </c>
    </row>
    <row r="225" spans="1:12" ht="9.75" customHeight="1">
      <c r="A225" s="3" t="s">
        <v>104</v>
      </c>
      <c r="C225" s="2">
        <v>27688</v>
      </c>
      <c r="D225" s="2">
        <v>2558</v>
      </c>
      <c r="E225" s="2">
        <v>3169</v>
      </c>
      <c r="F225" s="2">
        <v>13543</v>
      </c>
      <c r="G225" s="2">
        <v>328</v>
      </c>
      <c r="H225" s="2">
        <v>42</v>
      </c>
      <c r="I225" s="2">
        <v>49</v>
      </c>
      <c r="J225" s="2">
        <v>21</v>
      </c>
      <c r="K225" s="2">
        <v>114</v>
      </c>
      <c r="L225" s="2">
        <v>77</v>
      </c>
    </row>
    <row r="226" spans="2:12" s="4" customFormat="1" ht="9.75" customHeight="1">
      <c r="B226" s="6" t="s">
        <v>105</v>
      </c>
      <c r="C226" s="4">
        <f>C225/33415</f>
        <v>0.8286099057309592</v>
      </c>
      <c r="D226" s="4">
        <f>D225/33415</f>
        <v>0.07655244650606015</v>
      </c>
      <c r="E226" s="4">
        <f>E225/33415</f>
        <v>0.0948376477629807</v>
      </c>
      <c r="F226" s="4">
        <f>F225/13543</f>
        <v>1</v>
      </c>
      <c r="G226" s="4">
        <f>G225/328</f>
        <v>1</v>
      </c>
      <c r="H226" s="4">
        <f>H225/112</f>
        <v>0.375</v>
      </c>
      <c r="I226" s="4">
        <f>I225/112</f>
        <v>0.4375</v>
      </c>
      <c r="J226" s="4">
        <f>J225/112</f>
        <v>0.1875</v>
      </c>
      <c r="K226" s="4">
        <f>K225/114</f>
        <v>1</v>
      </c>
      <c r="L226" s="4">
        <f>L225/77</f>
        <v>1</v>
      </c>
    </row>
    <row r="227" spans="2:12" ht="4.5" customHeight="1">
      <c r="B227" s="7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9.75" customHeight="1">
      <c r="A228" s="3" t="s">
        <v>94</v>
      </c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ht="9.75" customHeight="1">
      <c r="B229" s="5" t="s">
        <v>88</v>
      </c>
      <c r="C229" s="2">
        <v>34072</v>
      </c>
      <c r="D229" s="2">
        <v>2438</v>
      </c>
      <c r="E229" s="2">
        <v>3795</v>
      </c>
      <c r="F229" s="2">
        <v>65632</v>
      </c>
      <c r="G229" s="2">
        <v>676</v>
      </c>
      <c r="H229" s="2">
        <v>136</v>
      </c>
      <c r="I229" s="2">
        <v>112</v>
      </c>
      <c r="J229" s="2">
        <v>66</v>
      </c>
      <c r="K229" s="2">
        <v>591</v>
      </c>
      <c r="L229" s="2">
        <v>70</v>
      </c>
    </row>
    <row r="230" spans="1:12" ht="9.75" customHeight="1">
      <c r="A230" s="3" t="s">
        <v>104</v>
      </c>
      <c r="C230" s="2">
        <v>34072</v>
      </c>
      <c r="D230" s="2">
        <v>2438</v>
      </c>
      <c r="E230" s="2">
        <v>3795</v>
      </c>
      <c r="F230" s="2">
        <v>65632</v>
      </c>
      <c r="G230" s="2">
        <v>676</v>
      </c>
      <c r="H230" s="2">
        <v>136</v>
      </c>
      <c r="I230" s="2">
        <v>112</v>
      </c>
      <c r="J230" s="2">
        <v>66</v>
      </c>
      <c r="K230" s="2">
        <v>591</v>
      </c>
      <c r="L230" s="2">
        <v>70</v>
      </c>
    </row>
    <row r="231" spans="2:12" s="4" customFormat="1" ht="9.75" customHeight="1">
      <c r="B231" s="6" t="s">
        <v>105</v>
      </c>
      <c r="C231" s="4">
        <f>C230/40305</f>
        <v>0.8453541744200471</v>
      </c>
      <c r="D231" s="4">
        <f>D230/40305</f>
        <v>0.06048877310507381</v>
      </c>
      <c r="E231" s="4">
        <f>E230/40305</f>
        <v>0.09415705247487904</v>
      </c>
      <c r="F231" s="4">
        <f>F230/65632</f>
        <v>1</v>
      </c>
      <c r="G231" s="4">
        <f>G230/676</f>
        <v>1</v>
      </c>
      <c r="H231" s="4">
        <f>H230/314</f>
        <v>0.43312101910828027</v>
      </c>
      <c r="I231" s="4">
        <f>I230/314</f>
        <v>0.35668789808917195</v>
      </c>
      <c r="J231" s="4">
        <f>J230/314</f>
        <v>0.21019108280254778</v>
      </c>
      <c r="K231" s="4">
        <f>K230/591</f>
        <v>1</v>
      </c>
      <c r="L231" s="4">
        <f>L230/70</f>
        <v>1</v>
      </c>
    </row>
    <row r="232" spans="2:12" ht="4.5" customHeight="1"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9.75" customHeight="1">
      <c r="A233" s="3" t="s">
        <v>95</v>
      </c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ht="9.75" customHeight="1">
      <c r="B234" s="5" t="s">
        <v>88</v>
      </c>
      <c r="C234" s="2">
        <v>23945</v>
      </c>
      <c r="D234" s="2">
        <v>2429</v>
      </c>
      <c r="E234" s="2">
        <v>2763</v>
      </c>
      <c r="F234" s="2">
        <v>22974</v>
      </c>
      <c r="G234" s="2">
        <v>437</v>
      </c>
      <c r="H234" s="2">
        <v>56</v>
      </c>
      <c r="I234" s="2">
        <v>62</v>
      </c>
      <c r="J234" s="2">
        <v>28</v>
      </c>
      <c r="K234" s="2">
        <v>228</v>
      </c>
      <c r="L234" s="2">
        <v>93</v>
      </c>
    </row>
    <row r="235" spans="1:12" ht="9.75" customHeight="1">
      <c r="A235" s="3" t="s">
        <v>104</v>
      </c>
      <c r="C235" s="2">
        <v>23945</v>
      </c>
      <c r="D235" s="2">
        <v>2429</v>
      </c>
      <c r="E235" s="2">
        <v>2763</v>
      </c>
      <c r="F235" s="2">
        <v>22974</v>
      </c>
      <c r="G235" s="2">
        <v>437</v>
      </c>
      <c r="H235" s="2">
        <v>56</v>
      </c>
      <c r="I235" s="2">
        <v>62</v>
      </c>
      <c r="J235" s="2">
        <v>28</v>
      </c>
      <c r="K235" s="2">
        <v>228</v>
      </c>
      <c r="L235" s="2">
        <v>93</v>
      </c>
    </row>
    <row r="236" spans="2:12" s="4" customFormat="1" ht="9.75" customHeight="1">
      <c r="B236" s="6" t="s">
        <v>105</v>
      </c>
      <c r="C236" s="4">
        <f>C235/29137</f>
        <v>0.8218073240210042</v>
      </c>
      <c r="D236" s="4">
        <f>D235/29137</f>
        <v>0.08336479390465731</v>
      </c>
      <c r="E236" s="4">
        <f>E235/29137</f>
        <v>0.09482788207433847</v>
      </c>
      <c r="F236" s="4">
        <f>F235/22974</f>
        <v>1</v>
      </c>
      <c r="G236" s="4">
        <f>G235/437</f>
        <v>1</v>
      </c>
      <c r="H236" s="4">
        <f>H235/146</f>
        <v>0.3835616438356164</v>
      </c>
      <c r="I236" s="4">
        <f>I235/146</f>
        <v>0.4246575342465753</v>
      </c>
      <c r="J236" s="4">
        <f>J235/146</f>
        <v>0.1917808219178082</v>
      </c>
      <c r="K236" s="4">
        <f>K235/228</f>
        <v>1</v>
      </c>
      <c r="L236" s="4">
        <f>L235/93</f>
        <v>1</v>
      </c>
    </row>
    <row r="237" spans="2:12" ht="4.5" customHeight="1"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9.75" customHeight="1">
      <c r="A238" s="3" t="s">
        <v>96</v>
      </c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ht="9.75" customHeight="1">
      <c r="B239" s="5" t="s">
        <v>88</v>
      </c>
      <c r="C239" s="2">
        <v>38120</v>
      </c>
      <c r="D239" s="2">
        <v>2811</v>
      </c>
      <c r="E239" s="2">
        <v>4124</v>
      </c>
      <c r="F239" s="2">
        <v>62740</v>
      </c>
      <c r="G239" s="2">
        <v>672</v>
      </c>
      <c r="H239" s="2">
        <v>160</v>
      </c>
      <c r="I239" s="2">
        <v>143</v>
      </c>
      <c r="J239" s="2">
        <v>69</v>
      </c>
      <c r="K239" s="2">
        <v>604</v>
      </c>
      <c r="L239" s="2">
        <v>68</v>
      </c>
    </row>
    <row r="240" spans="1:12" ht="9.75" customHeight="1">
      <c r="A240" s="3" t="s">
        <v>104</v>
      </c>
      <c r="C240" s="2">
        <v>38120</v>
      </c>
      <c r="D240" s="2">
        <v>2811</v>
      </c>
      <c r="E240" s="2">
        <v>4124</v>
      </c>
      <c r="F240" s="2">
        <v>62740</v>
      </c>
      <c r="G240" s="2">
        <v>672</v>
      </c>
      <c r="H240" s="2">
        <v>160</v>
      </c>
      <c r="I240" s="2">
        <v>143</v>
      </c>
      <c r="J240" s="2">
        <v>69</v>
      </c>
      <c r="K240" s="2">
        <v>604</v>
      </c>
      <c r="L240" s="2">
        <v>68</v>
      </c>
    </row>
    <row r="241" spans="2:12" s="4" customFormat="1" ht="9.75" customHeight="1">
      <c r="B241" s="6" t="s">
        <v>105</v>
      </c>
      <c r="C241" s="4">
        <f>C240/45055</f>
        <v>0.8460770169792475</v>
      </c>
      <c r="D241" s="4">
        <f>D240/45055</f>
        <v>0.0623904117190101</v>
      </c>
      <c r="E241" s="4">
        <f>E240/45055</f>
        <v>0.09153257130174232</v>
      </c>
      <c r="F241" s="4">
        <f>F240/62740</f>
        <v>1</v>
      </c>
      <c r="G241" s="4">
        <f>G240/672</f>
        <v>1</v>
      </c>
      <c r="H241" s="4">
        <f>H240/372</f>
        <v>0.43010752688172044</v>
      </c>
      <c r="I241" s="4">
        <f>I240/372</f>
        <v>0.3844086021505376</v>
      </c>
      <c r="J241" s="4">
        <f>J240/372</f>
        <v>0.18548387096774194</v>
      </c>
      <c r="K241" s="4">
        <f>K240/604</f>
        <v>1</v>
      </c>
      <c r="L241" s="4">
        <f>L240/68</f>
        <v>1</v>
      </c>
    </row>
    <row r="242" spans="2:12" ht="4.5" customHeight="1"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9.75" customHeight="1">
      <c r="A243" s="3" t="s">
        <v>98</v>
      </c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ht="9.75" customHeight="1">
      <c r="B244" s="5" t="s">
        <v>91</v>
      </c>
      <c r="C244" s="2">
        <v>6591</v>
      </c>
      <c r="D244" s="2">
        <v>548</v>
      </c>
      <c r="E244" s="2">
        <v>855</v>
      </c>
      <c r="F244" s="2">
        <v>14491</v>
      </c>
      <c r="G244" s="2">
        <v>191</v>
      </c>
      <c r="H244" s="2">
        <v>18</v>
      </c>
      <c r="I244" s="2">
        <v>18</v>
      </c>
      <c r="J244" s="2">
        <v>10</v>
      </c>
      <c r="K244" s="2">
        <v>81</v>
      </c>
      <c r="L244" s="2">
        <v>12</v>
      </c>
    </row>
    <row r="245" spans="2:12" ht="9.75" customHeight="1">
      <c r="B245" s="5" t="s">
        <v>97</v>
      </c>
      <c r="C245" s="2">
        <v>36182</v>
      </c>
      <c r="D245" s="2">
        <v>2245</v>
      </c>
      <c r="E245" s="2">
        <v>3827</v>
      </c>
      <c r="F245" s="2">
        <v>60561</v>
      </c>
      <c r="G245" s="2">
        <v>808</v>
      </c>
      <c r="H245" s="2">
        <v>112</v>
      </c>
      <c r="I245" s="2">
        <v>101</v>
      </c>
      <c r="J245" s="2">
        <v>75</v>
      </c>
      <c r="K245" s="2">
        <v>534</v>
      </c>
      <c r="L245" s="2">
        <v>48</v>
      </c>
    </row>
    <row r="246" spans="1:12" ht="9.75" customHeight="1">
      <c r="A246" s="3" t="s">
        <v>104</v>
      </c>
      <c r="C246" s="2">
        <v>42773</v>
      </c>
      <c r="D246" s="2">
        <v>2793</v>
      </c>
      <c r="E246" s="2">
        <v>4682</v>
      </c>
      <c r="F246" s="2">
        <v>75052</v>
      </c>
      <c r="G246" s="2">
        <v>999</v>
      </c>
      <c r="H246" s="2">
        <v>130</v>
      </c>
      <c r="I246" s="2">
        <v>119</v>
      </c>
      <c r="J246" s="2">
        <v>85</v>
      </c>
      <c r="K246" s="2">
        <v>615</v>
      </c>
      <c r="L246" s="2">
        <v>60</v>
      </c>
    </row>
    <row r="247" spans="2:12" s="4" customFormat="1" ht="9.75" customHeight="1">
      <c r="B247" s="6" t="s">
        <v>105</v>
      </c>
      <c r="C247" s="4">
        <f>C246/50248</f>
        <v>0.8512378602133418</v>
      </c>
      <c r="D247" s="4">
        <f>D246/50248</f>
        <v>0.055584301862760706</v>
      </c>
      <c r="E247" s="4">
        <f>E246/50248</f>
        <v>0.09317783792389747</v>
      </c>
      <c r="F247" s="4">
        <f>F246/75052</f>
        <v>1</v>
      </c>
      <c r="G247" s="4">
        <f>G246/999</f>
        <v>1</v>
      </c>
      <c r="H247" s="4">
        <f>H246/334</f>
        <v>0.38922155688622756</v>
      </c>
      <c r="I247" s="4">
        <f>I246/334</f>
        <v>0.3562874251497006</v>
      </c>
      <c r="J247" s="4">
        <f>J246/334</f>
        <v>0.25449101796407186</v>
      </c>
      <c r="K247" s="4">
        <f>K246/615</f>
        <v>1</v>
      </c>
      <c r="L247" s="4">
        <f>L246/60</f>
        <v>1</v>
      </c>
    </row>
    <row r="248" spans="2:12" ht="4.5" customHeight="1"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9.75" customHeight="1">
      <c r="A249" s="3" t="s">
        <v>99</v>
      </c>
      <c r="B249" s="7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9.75" customHeight="1">
      <c r="B250" s="5" t="s">
        <v>91</v>
      </c>
      <c r="C250" s="2">
        <v>38936</v>
      </c>
      <c r="D250" s="2">
        <v>2790</v>
      </c>
      <c r="E250" s="2">
        <v>4785</v>
      </c>
      <c r="F250" s="2">
        <v>52833</v>
      </c>
      <c r="G250" s="2">
        <v>837</v>
      </c>
      <c r="H250" s="2">
        <v>78</v>
      </c>
      <c r="I250" s="2">
        <v>85</v>
      </c>
      <c r="J250" s="2">
        <v>50</v>
      </c>
      <c r="K250" s="2">
        <v>333</v>
      </c>
      <c r="L250" s="2">
        <v>54</v>
      </c>
    </row>
    <row r="251" spans="1:12" ht="9.75" customHeight="1">
      <c r="A251" s="3" t="s">
        <v>104</v>
      </c>
      <c r="C251" s="2">
        <v>38936</v>
      </c>
      <c r="D251" s="2">
        <v>2790</v>
      </c>
      <c r="E251" s="2">
        <v>4785</v>
      </c>
      <c r="F251" s="2">
        <v>52833</v>
      </c>
      <c r="G251" s="2">
        <v>837</v>
      </c>
      <c r="H251" s="2">
        <v>78</v>
      </c>
      <c r="I251" s="2">
        <v>85</v>
      </c>
      <c r="J251" s="2">
        <v>50</v>
      </c>
      <c r="K251" s="2">
        <v>333</v>
      </c>
      <c r="L251" s="2">
        <v>54</v>
      </c>
    </row>
    <row r="252" spans="2:12" s="4" customFormat="1" ht="9.75" customHeight="1">
      <c r="B252" s="6" t="s">
        <v>105</v>
      </c>
      <c r="C252" s="4">
        <f>C251/46511</f>
        <v>0.8371353013265679</v>
      </c>
      <c r="D252" s="4">
        <f>D251/46511</f>
        <v>0.05998580980843241</v>
      </c>
      <c r="E252" s="4">
        <f>E251/46511</f>
        <v>0.10287888886499967</v>
      </c>
      <c r="F252" s="4">
        <f>F251/52833</f>
        <v>1</v>
      </c>
      <c r="G252" s="4">
        <f>G251/837</f>
        <v>1</v>
      </c>
      <c r="H252" s="4">
        <f>H251/213</f>
        <v>0.36619718309859156</v>
      </c>
      <c r="I252" s="4">
        <f>I251/213</f>
        <v>0.39906103286384975</v>
      </c>
      <c r="J252" s="4">
        <f>J251/213</f>
        <v>0.2347417840375587</v>
      </c>
      <c r="K252" s="4">
        <f>K251/333</f>
        <v>1</v>
      </c>
      <c r="L252" s="4">
        <f>L251/54</f>
        <v>1</v>
      </c>
    </row>
    <row r="253" spans="2:12" ht="4.5" customHeight="1"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9.75" customHeight="1">
      <c r="A254" s="3" t="s">
        <v>100</v>
      </c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ht="9.75" customHeight="1">
      <c r="B255" s="5" t="s">
        <v>88</v>
      </c>
      <c r="C255" s="2">
        <v>3528</v>
      </c>
      <c r="D255" s="2">
        <v>243</v>
      </c>
      <c r="E255" s="2">
        <v>410</v>
      </c>
      <c r="F255" s="2">
        <v>8089</v>
      </c>
      <c r="G255" s="2">
        <v>103</v>
      </c>
      <c r="H255" s="2">
        <v>25</v>
      </c>
      <c r="I255" s="2">
        <v>22</v>
      </c>
      <c r="J255" s="2">
        <v>5</v>
      </c>
      <c r="K255" s="2">
        <v>69</v>
      </c>
      <c r="L255" s="2">
        <v>3</v>
      </c>
    </row>
    <row r="256" spans="2:12" ht="9.75" customHeight="1">
      <c r="B256" s="5" t="s">
        <v>97</v>
      </c>
      <c r="C256" s="2">
        <v>46468</v>
      </c>
      <c r="D256" s="2">
        <v>2139</v>
      </c>
      <c r="E256" s="2">
        <v>3907</v>
      </c>
      <c r="F256" s="2">
        <v>63278</v>
      </c>
      <c r="G256" s="2">
        <v>880</v>
      </c>
      <c r="H256" s="2">
        <v>203</v>
      </c>
      <c r="I256" s="2">
        <v>189</v>
      </c>
      <c r="J256" s="2">
        <v>84</v>
      </c>
      <c r="K256" s="2">
        <v>581</v>
      </c>
      <c r="L256" s="2">
        <v>75</v>
      </c>
    </row>
    <row r="257" spans="1:12" ht="9.75" customHeight="1">
      <c r="A257" s="3" t="s">
        <v>104</v>
      </c>
      <c r="C257" s="2">
        <v>49996</v>
      </c>
      <c r="D257" s="2">
        <v>2382</v>
      </c>
      <c r="E257" s="2">
        <v>4317</v>
      </c>
      <c r="F257" s="2">
        <v>71367</v>
      </c>
      <c r="G257" s="2">
        <v>983</v>
      </c>
      <c r="H257" s="2">
        <v>228</v>
      </c>
      <c r="I257" s="2">
        <v>211</v>
      </c>
      <c r="J257" s="2">
        <v>89</v>
      </c>
      <c r="K257" s="2">
        <v>650</v>
      </c>
      <c r="L257" s="2">
        <v>78</v>
      </c>
    </row>
    <row r="258" spans="2:12" s="4" customFormat="1" ht="9.75" customHeight="1">
      <c r="B258" s="6" t="s">
        <v>105</v>
      </c>
      <c r="C258" s="4">
        <f>C257/56695</f>
        <v>0.881841432225064</v>
      </c>
      <c r="D258" s="4">
        <f>D257/56695</f>
        <v>0.04201428697415998</v>
      </c>
      <c r="E258" s="4">
        <f>E257/56695</f>
        <v>0.07614428080077608</v>
      </c>
      <c r="F258" s="4">
        <f>F257/71367</f>
        <v>1</v>
      </c>
      <c r="G258" s="4">
        <f>G257/983</f>
        <v>1</v>
      </c>
      <c r="H258" s="4">
        <f>H257/528</f>
        <v>0.4318181818181818</v>
      </c>
      <c r="I258" s="4">
        <f>I257/528</f>
        <v>0.3996212121212121</v>
      </c>
      <c r="J258" s="4">
        <f>J257/528</f>
        <v>0.16856060606060605</v>
      </c>
      <c r="K258" s="4">
        <f>K257/650</f>
        <v>1</v>
      </c>
      <c r="L258" s="4">
        <f>L257/78</f>
        <v>1</v>
      </c>
    </row>
    <row r="259" spans="2:12" ht="4.5" customHeight="1">
      <c r="B259" s="7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9.75" customHeight="1">
      <c r="A260" s="3" t="s">
        <v>101</v>
      </c>
      <c r="B260" s="7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ht="9.75" customHeight="1">
      <c r="B261" s="5" t="s">
        <v>97</v>
      </c>
      <c r="C261" s="2">
        <v>63793</v>
      </c>
      <c r="D261" s="2">
        <v>2794</v>
      </c>
      <c r="E261" s="2">
        <v>4451</v>
      </c>
      <c r="F261" s="2">
        <v>43301</v>
      </c>
      <c r="G261" s="2">
        <v>798</v>
      </c>
      <c r="H261" s="2">
        <v>365</v>
      </c>
      <c r="I261" s="2">
        <v>232</v>
      </c>
      <c r="J261" s="2">
        <v>119</v>
      </c>
      <c r="K261" s="2">
        <v>687</v>
      </c>
      <c r="L261" s="2">
        <v>102</v>
      </c>
    </row>
    <row r="262" spans="1:12" ht="9.75" customHeight="1">
      <c r="A262" s="3" t="s">
        <v>104</v>
      </c>
      <c r="C262" s="2">
        <v>63793</v>
      </c>
      <c r="D262" s="2">
        <v>2794</v>
      </c>
      <c r="E262" s="2">
        <v>4451</v>
      </c>
      <c r="F262" s="2">
        <v>43301</v>
      </c>
      <c r="G262" s="2">
        <v>798</v>
      </c>
      <c r="H262" s="2">
        <v>365</v>
      </c>
      <c r="I262" s="2">
        <v>232</v>
      </c>
      <c r="J262" s="2">
        <v>119</v>
      </c>
      <c r="K262" s="2">
        <v>687</v>
      </c>
      <c r="L262" s="2">
        <v>102</v>
      </c>
    </row>
    <row r="263" spans="2:12" s="4" customFormat="1" ht="9.75" customHeight="1">
      <c r="B263" s="6" t="s">
        <v>105</v>
      </c>
      <c r="C263" s="4">
        <f>C262/71038</f>
        <v>0.8980123314282497</v>
      </c>
      <c r="D263" s="4">
        <f>D262/71038</f>
        <v>0.03933106224837411</v>
      </c>
      <c r="E263" s="4">
        <f>E262/71038</f>
        <v>0.06265660632337622</v>
      </c>
      <c r="F263" s="4">
        <f>F262/43301</f>
        <v>1</v>
      </c>
      <c r="G263" s="4">
        <f>G262/798</f>
        <v>1</v>
      </c>
      <c r="H263" s="4">
        <f>H262/716</f>
        <v>0.5097765363128491</v>
      </c>
      <c r="I263" s="4">
        <f>I262/716</f>
        <v>0.3240223463687151</v>
      </c>
      <c r="J263" s="4">
        <f>J262/716</f>
        <v>0.16620111731843576</v>
      </c>
      <c r="K263" s="4">
        <f>K262/687</f>
        <v>1</v>
      </c>
      <c r="L263" s="4">
        <f>L262/102</f>
        <v>1</v>
      </c>
    </row>
    <row r="264" spans="2:12" ht="4.5" customHeight="1">
      <c r="B264" s="7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9.75" customHeight="1">
      <c r="A265" s="3" t="s">
        <v>103</v>
      </c>
      <c r="B265" s="7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ht="9.75" customHeight="1">
      <c r="B266" s="5" t="s">
        <v>102</v>
      </c>
      <c r="C266" s="2">
        <v>7170</v>
      </c>
      <c r="D266" s="2">
        <v>1187</v>
      </c>
      <c r="E266" s="2">
        <v>1084</v>
      </c>
      <c r="F266" s="2">
        <v>4956</v>
      </c>
      <c r="G266" s="2">
        <v>139</v>
      </c>
      <c r="H266" s="2">
        <v>9</v>
      </c>
      <c r="I266" s="2">
        <v>7</v>
      </c>
      <c r="J266" s="2">
        <v>5</v>
      </c>
      <c r="K266" s="2">
        <v>15</v>
      </c>
      <c r="L266" s="2">
        <v>21</v>
      </c>
    </row>
    <row r="267" spans="2:12" ht="9.75" customHeight="1">
      <c r="B267" s="5" t="s">
        <v>91</v>
      </c>
      <c r="C267" s="2">
        <v>5674</v>
      </c>
      <c r="D267" s="2">
        <v>405</v>
      </c>
      <c r="E267" s="2">
        <v>681</v>
      </c>
      <c r="F267" s="2">
        <v>4722</v>
      </c>
      <c r="G267" s="2">
        <v>77</v>
      </c>
      <c r="H267" s="2">
        <v>3</v>
      </c>
      <c r="I267" s="2">
        <v>10</v>
      </c>
      <c r="J267" s="2">
        <v>3</v>
      </c>
      <c r="K267" s="2">
        <v>25</v>
      </c>
      <c r="L267" s="2">
        <v>5</v>
      </c>
    </row>
    <row r="268" spans="2:12" ht="9.75" customHeight="1">
      <c r="B268" s="5" t="s">
        <v>97</v>
      </c>
      <c r="C268" s="2">
        <v>26193</v>
      </c>
      <c r="D268" s="2">
        <v>2514</v>
      </c>
      <c r="E268" s="2">
        <v>2630</v>
      </c>
      <c r="F268" s="2">
        <v>17399</v>
      </c>
      <c r="G268" s="2">
        <v>319</v>
      </c>
      <c r="H268" s="2">
        <v>66</v>
      </c>
      <c r="I268" s="2">
        <v>61</v>
      </c>
      <c r="J268" s="2">
        <v>35</v>
      </c>
      <c r="K268" s="2">
        <v>141</v>
      </c>
      <c r="L268" s="2">
        <v>59</v>
      </c>
    </row>
    <row r="269" spans="1:12" ht="9.75" customHeight="1">
      <c r="A269" s="3" t="s">
        <v>104</v>
      </c>
      <c r="C269" s="2">
        <v>39037</v>
      </c>
      <c r="D269" s="2">
        <v>4106</v>
      </c>
      <c r="E269" s="2">
        <v>4395</v>
      </c>
      <c r="F269" s="2">
        <v>27077</v>
      </c>
      <c r="G269" s="2">
        <v>535</v>
      </c>
      <c r="H269" s="2">
        <v>78</v>
      </c>
      <c r="I269" s="2">
        <v>78</v>
      </c>
      <c r="J269" s="2">
        <v>43</v>
      </c>
      <c r="K269" s="2">
        <v>181</v>
      </c>
      <c r="L269" s="2">
        <v>85</v>
      </c>
    </row>
    <row r="270" spans="2:12" s="4" customFormat="1" ht="9.75" customHeight="1">
      <c r="B270" s="6" t="s">
        <v>105</v>
      </c>
      <c r="C270" s="4">
        <f>C269/47538</f>
        <v>0.8211746392359797</v>
      </c>
      <c r="D270" s="4">
        <f>D269/47538</f>
        <v>0.08637300685767176</v>
      </c>
      <c r="E270" s="4">
        <f>E269/47538</f>
        <v>0.09245235390634861</v>
      </c>
      <c r="F270" s="4">
        <f>F269/27077</f>
        <v>1</v>
      </c>
      <c r="G270" s="4">
        <f>G269/535</f>
        <v>1</v>
      </c>
      <c r="H270" s="4">
        <f>H269/199</f>
        <v>0.39195979899497485</v>
      </c>
      <c r="I270" s="4">
        <f>I269/199</f>
        <v>0.39195979899497485</v>
      </c>
      <c r="J270" s="4">
        <f>J269/199</f>
        <v>0.21608040201005024</v>
      </c>
      <c r="K270" s="4">
        <f>K269/181</f>
        <v>1</v>
      </c>
      <c r="L270" s="4">
        <f>L269/85</f>
        <v>1</v>
      </c>
    </row>
    <row r="271" spans="2:12" ht="4.5" customHeight="1">
      <c r="B271" s="7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ht="9">
      <c r="B272" s="7"/>
      <c r="C272" s="2"/>
      <c r="D272" s="2"/>
      <c r="E272" s="2"/>
      <c r="F272" s="2"/>
      <c r="G272" s="2"/>
      <c r="H272" s="2"/>
      <c r="I272" s="2"/>
      <c r="J272" s="2"/>
      <c r="K272" s="2"/>
      <c r="L272" s="2"/>
    </row>
  </sheetData>
  <printOptions/>
  <pageMargins left="0.41" right="0.25" top="1" bottom="0.8" header="0.3" footer="0.3"/>
  <pageSetup firstPageNumber="121" useFirstPageNumber="1" fitToHeight="0" fitToWidth="0" horizontalDpi="600" verticalDpi="600" orientation="portrait" r:id="rId1"/>
  <headerFooter alignWithMargins="0">
    <oddHeader>&amp;C&amp;"Arial,Bold"&amp;11Supplement to the Statement of Vote
Counties by Senate Districts
for US Senator</oddHeader>
    <oddFooter>&amp;C&amp;"Arial,Bold"&amp;8&amp;P</oddFooter>
  </headerFooter>
  <rowBreaks count="3" manualBreakCount="3">
    <brk id="69" max="11" man="1"/>
    <brk id="135" max="11" man="1"/>
    <brk id="2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2006-11-10T22:24:10Z</cp:lastPrinted>
  <dcterms:created xsi:type="dcterms:W3CDTF">2006-11-10T22:24:34Z</dcterms:created>
  <dcterms:modified xsi:type="dcterms:W3CDTF">2006-11-10T22:24:39Z</dcterms:modified>
  <cp:category/>
  <cp:version/>
  <cp:contentType/>
  <cp:contentStatus/>
</cp:coreProperties>
</file>