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'Sheet1'!$A$1:$Y$273</definedName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<sst xmlns="http://schemas.openxmlformats.org/spreadsheetml/2006/main" count="276" uniqueCount="129">
  <si>
    <t>Joe Symmon</t>
  </si>
  <si>
    <t>Richard William Aguirre</t>
  </si>
  <si>
    <t>Charles "Chuck" Pineda, Jr.</t>
  </si>
  <si>
    <t>Peter Schurman</t>
  </si>
  <si>
    <t>Lowell Darling</t>
  </si>
  <si>
    <t>Vibert Greene</t>
  </si>
  <si>
    <t>Bill Chambers</t>
  </si>
  <si>
    <t>Robert C. Newman II</t>
  </si>
  <si>
    <t>Steve Poizner</t>
  </si>
  <si>
    <t>Meg Whitman</t>
  </si>
  <si>
    <t>Douglas R. Hughes</t>
  </si>
  <si>
    <t>Lawrence "Larry" Naritelli</t>
  </si>
  <si>
    <t>Chelene Nightingale</t>
  </si>
  <si>
    <t>Markham Robinson</t>
  </si>
  <si>
    <t>S. Deacon Alexander</t>
  </si>
  <si>
    <t>Dale F. Ogden</t>
  </si>
  <si>
    <t>Mohammad Arif</t>
  </si>
  <si>
    <t>Carlos Alvarez</t>
  </si>
  <si>
    <t>Stewart A. Alexander</t>
  </si>
  <si>
    <t>DEM</t>
  </si>
  <si>
    <t>REP</t>
  </si>
  <si>
    <t>AI</t>
  </si>
  <si>
    <t>GRN</t>
  </si>
  <si>
    <t>LIB</t>
  </si>
  <si>
    <t>PF</t>
  </si>
  <si>
    <t>Alpine</t>
  </si>
  <si>
    <t>Amador</t>
  </si>
  <si>
    <t>Calaveras</t>
  </si>
  <si>
    <t>El Dorado</t>
  </si>
  <si>
    <t>Lassen</t>
  </si>
  <si>
    <t>Modoc</t>
  </si>
  <si>
    <t>Mono</t>
  </si>
  <si>
    <t>Nevada</t>
  </si>
  <si>
    <t>Placer</t>
  </si>
  <si>
    <t>Plumas</t>
  </si>
  <si>
    <t>Sacramento</t>
  </si>
  <si>
    <t>Sierra</t>
  </si>
  <si>
    <t>Senate District 1</t>
  </si>
  <si>
    <t>Humboldt</t>
  </si>
  <si>
    <t>Lake</t>
  </si>
  <si>
    <t>Mendocino</t>
  </si>
  <si>
    <t>Napa</t>
  </si>
  <si>
    <t>Solano</t>
  </si>
  <si>
    <t>Sonoma</t>
  </si>
  <si>
    <t>Senate District 2</t>
  </si>
  <si>
    <t>Marin</t>
  </si>
  <si>
    <t>San Francisco</t>
  </si>
  <si>
    <t>Senate District 3</t>
  </si>
  <si>
    <t>Butte</t>
  </si>
  <si>
    <t>Colusa</t>
  </si>
  <si>
    <t>Del Norte</t>
  </si>
  <si>
    <t>Glenn</t>
  </si>
  <si>
    <t>Shasta</t>
  </si>
  <si>
    <t>Siskiyou</t>
  </si>
  <si>
    <t>Sutter</t>
  </si>
  <si>
    <t>Tehama</t>
  </si>
  <si>
    <t>Trinity</t>
  </si>
  <si>
    <t>Yuba</t>
  </si>
  <si>
    <t>Senate District 4</t>
  </si>
  <si>
    <t>San Joaquin</t>
  </si>
  <si>
    <t>Yolo</t>
  </si>
  <si>
    <t>Senate District 5</t>
  </si>
  <si>
    <t>Senate District 6</t>
  </si>
  <si>
    <t>Contra Costa</t>
  </si>
  <si>
    <t>Senate District 7</t>
  </si>
  <si>
    <t>San Mateo</t>
  </si>
  <si>
    <t>Senate District 8</t>
  </si>
  <si>
    <t>Alameda</t>
  </si>
  <si>
    <t>Senate District 9</t>
  </si>
  <si>
    <t>Santa Clara</t>
  </si>
  <si>
    <t>Senate District 10</t>
  </si>
  <si>
    <t>Santa Cruz</t>
  </si>
  <si>
    <t>Senate District 11</t>
  </si>
  <si>
    <t>Madera</t>
  </si>
  <si>
    <t>Merced</t>
  </si>
  <si>
    <t>Monterey</t>
  </si>
  <si>
    <t>San Benito</t>
  </si>
  <si>
    <t>Stanislaus</t>
  </si>
  <si>
    <t>Senate District 12</t>
  </si>
  <si>
    <t>Senate District 13</t>
  </si>
  <si>
    <t>Fresno</t>
  </si>
  <si>
    <t>Mariposa</t>
  </si>
  <si>
    <t>Tuolumne</t>
  </si>
  <si>
    <t>Senate District 14</t>
  </si>
  <si>
    <t>San Luis Obispo</t>
  </si>
  <si>
    <t>Santa Barbara</t>
  </si>
  <si>
    <t>Senate District 15</t>
  </si>
  <si>
    <t>Kern</t>
  </si>
  <si>
    <t>Kings</t>
  </si>
  <si>
    <t>Tulare</t>
  </si>
  <si>
    <t>Senate District 16</t>
  </si>
  <si>
    <t>Los Angeles</t>
  </si>
  <si>
    <t>San Bernardino</t>
  </si>
  <si>
    <t>Ventura</t>
  </si>
  <si>
    <t>Senate District 17</t>
  </si>
  <si>
    <t>Inyo</t>
  </si>
  <si>
    <t>Senate District 18</t>
  </si>
  <si>
    <t>Senate District 19</t>
  </si>
  <si>
    <t>Senate District 20</t>
  </si>
  <si>
    <t>Senate District 21</t>
  </si>
  <si>
    <t>Senate District 22</t>
  </si>
  <si>
    <t>Senate District 23</t>
  </si>
  <si>
    <t>Senate District 24</t>
  </si>
  <si>
    <t>Senate District 25</t>
  </si>
  <si>
    <t>Senate District 26</t>
  </si>
  <si>
    <t>Senate District 27</t>
  </si>
  <si>
    <t>Senate District 28</t>
  </si>
  <si>
    <t>Orange</t>
  </si>
  <si>
    <t>Senate District 29</t>
  </si>
  <si>
    <t>Senate District 30</t>
  </si>
  <si>
    <t>Riverside</t>
  </si>
  <si>
    <t>Senate District 31</t>
  </si>
  <si>
    <t>Senate District 32</t>
  </si>
  <si>
    <t>Senate District 33</t>
  </si>
  <si>
    <t>Senate District 34</t>
  </si>
  <si>
    <t>Senate District 35</t>
  </si>
  <si>
    <t>San Diego</t>
  </si>
  <si>
    <t>Senate District 36</t>
  </si>
  <si>
    <t>Senate District 37</t>
  </si>
  <si>
    <t>Senate District 38</t>
  </si>
  <si>
    <t>Senate District 39</t>
  </si>
  <si>
    <t>Imperial</t>
  </si>
  <si>
    <t>Senate District 40</t>
  </si>
  <si>
    <t>District Totals</t>
  </si>
  <si>
    <t>Laura     Wells</t>
  </si>
  <si>
    <t>Ken        Miller</t>
  </si>
  <si>
    <t>Jerry     Brown</t>
  </si>
  <si>
    <t>David     Tully-Smith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</si>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</sst>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wrapText="1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3"/>
  <sheetViews>
    <sheetView tabSelected="1" showOutlineSymbols="0" view="pageBreakPreview" zoomScaleSheetLayoutView="100" workbookViewId="0" topLeftCell="A1">
      <selection activeCell="B1" sqref="B1:B16384"/>
    </sheetView>
  </sheetViews>
  <sheetFormatPr defaultColWidth="9.140625" defaultRowHeight="12.75" customHeight="1"/>
  <cols>
    <col min="1" max="1" width="2.7109375" style="1" customWidth="1"/>
    <col min="2" max="2" width="20.7109375" style="5" customWidth="1"/>
    <col min="3" max="16384" width="7.7109375" style="1" customWidth="1"/>
  </cols>
  <sheetData>
    <row r="1" spans="3:25" s="12" customFormat="1" ht="32.25" customHeight="1">
      <c r="C1" s="12" t="s">
        <v>0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126</v>
      </c>
      <c r="J1" s="12" t="s">
        <v>6</v>
      </c>
      <c r="K1" s="12" t="s">
        <v>7</v>
      </c>
      <c r="L1" s="12" t="s">
        <v>8</v>
      </c>
      <c r="M1" s="12" t="s">
        <v>9</v>
      </c>
      <c r="N1" s="12" t="s">
        <v>10</v>
      </c>
      <c r="O1" s="12" t="s">
        <v>11</v>
      </c>
      <c r="P1" s="12" t="s">
        <v>125</v>
      </c>
      <c r="Q1" s="12" t="s">
        <v>127</v>
      </c>
      <c r="R1" s="12" t="s">
        <v>12</v>
      </c>
      <c r="S1" s="12" t="s">
        <v>13</v>
      </c>
      <c r="T1" s="12" t="s">
        <v>14</v>
      </c>
      <c r="U1" s="12" t="s">
        <v>124</v>
      </c>
      <c r="V1" s="12" t="s">
        <v>15</v>
      </c>
      <c r="W1" s="12" t="s">
        <v>16</v>
      </c>
      <c r="X1" s="12" t="s">
        <v>17</v>
      </c>
      <c r="Y1" s="12" t="s">
        <v>18</v>
      </c>
    </row>
    <row r="2" spans="3:25" s="11" customFormat="1" ht="10.5" customHeight="1">
      <c r="C2" s="11" t="s">
        <v>19</v>
      </c>
      <c r="D2" s="11" t="s">
        <v>19</v>
      </c>
      <c r="E2" s="11" t="s">
        <v>19</v>
      </c>
      <c r="F2" s="11" t="s">
        <v>19</v>
      </c>
      <c r="G2" s="11" t="s">
        <v>19</v>
      </c>
      <c r="H2" s="11" t="s">
        <v>19</v>
      </c>
      <c r="I2" s="11" t="s">
        <v>19</v>
      </c>
      <c r="J2" s="11" t="s">
        <v>20</v>
      </c>
      <c r="K2" s="11" t="s">
        <v>20</v>
      </c>
      <c r="L2" s="11" t="s">
        <v>20</v>
      </c>
      <c r="M2" s="11" t="s">
        <v>20</v>
      </c>
      <c r="N2" s="11" t="s">
        <v>20</v>
      </c>
      <c r="O2" s="11" t="s">
        <v>20</v>
      </c>
      <c r="P2" s="11" t="s">
        <v>20</v>
      </c>
      <c r="Q2" s="11" t="s">
        <v>20</v>
      </c>
      <c r="R2" s="11" t="s">
        <v>21</v>
      </c>
      <c r="S2" s="11" t="s">
        <v>21</v>
      </c>
      <c r="T2" s="11" t="s">
        <v>22</v>
      </c>
      <c r="U2" s="11" t="s">
        <v>22</v>
      </c>
      <c r="V2" s="11" t="s">
        <v>23</v>
      </c>
      <c r="W2" s="11" t="s">
        <v>24</v>
      </c>
      <c r="X2" s="11" t="s">
        <v>24</v>
      </c>
      <c r="Y2" s="11" t="s">
        <v>24</v>
      </c>
    </row>
    <row r="3" spans="1:2" s="10" customFormat="1" ht="10.5" customHeight="1">
      <c r="A3" s="8" t="s">
        <v>37</v>
      </c>
      <c r="B3" s="9"/>
    </row>
    <row r="4" spans="2:25" ht="10.5" customHeight="1">
      <c r="B4" s="5" t="s">
        <v>25</v>
      </c>
      <c r="C4" s="2">
        <v>2</v>
      </c>
      <c r="D4" s="2">
        <v>11</v>
      </c>
      <c r="E4" s="2">
        <v>3</v>
      </c>
      <c r="F4" s="2">
        <v>4</v>
      </c>
      <c r="G4" s="2">
        <v>5</v>
      </c>
      <c r="H4" s="2">
        <v>3</v>
      </c>
      <c r="I4" s="2">
        <v>164</v>
      </c>
      <c r="J4" s="2">
        <v>6</v>
      </c>
      <c r="K4" s="2">
        <v>5</v>
      </c>
      <c r="L4" s="2">
        <v>41</v>
      </c>
      <c r="M4" s="2">
        <v>122</v>
      </c>
      <c r="N4" s="2">
        <v>6</v>
      </c>
      <c r="O4" s="2">
        <v>4</v>
      </c>
      <c r="P4" s="2">
        <v>2</v>
      </c>
      <c r="Q4" s="2">
        <v>3</v>
      </c>
      <c r="R4" s="2">
        <v>7</v>
      </c>
      <c r="S4" s="2">
        <v>1</v>
      </c>
      <c r="T4" s="2">
        <v>1</v>
      </c>
      <c r="U4" s="2">
        <v>3</v>
      </c>
      <c r="V4" s="2">
        <v>1</v>
      </c>
      <c r="W4" s="2">
        <v>0</v>
      </c>
      <c r="X4" s="2">
        <v>0</v>
      </c>
      <c r="Y4" s="2">
        <v>0</v>
      </c>
    </row>
    <row r="5" spans="2:25" ht="10.5" customHeight="1">
      <c r="B5" s="5" t="s">
        <v>26</v>
      </c>
      <c r="C5" s="2">
        <v>118</v>
      </c>
      <c r="D5" s="2">
        <v>191</v>
      </c>
      <c r="E5" s="2">
        <v>184</v>
      </c>
      <c r="F5" s="2">
        <v>78</v>
      </c>
      <c r="G5" s="2">
        <v>82</v>
      </c>
      <c r="H5" s="2">
        <v>101</v>
      </c>
      <c r="I5" s="2">
        <v>3267</v>
      </c>
      <c r="J5" s="2">
        <v>143</v>
      </c>
      <c r="K5" s="2">
        <v>191</v>
      </c>
      <c r="L5" s="2">
        <v>1734</v>
      </c>
      <c r="M5" s="2">
        <v>3742</v>
      </c>
      <c r="N5" s="2">
        <v>81</v>
      </c>
      <c r="O5" s="2">
        <v>119</v>
      </c>
      <c r="P5" s="2">
        <v>79</v>
      </c>
      <c r="Q5" s="2">
        <v>84</v>
      </c>
      <c r="R5" s="2">
        <v>75</v>
      </c>
      <c r="S5" s="2">
        <v>59</v>
      </c>
      <c r="T5" s="2">
        <v>6</v>
      </c>
      <c r="U5" s="2">
        <v>19</v>
      </c>
      <c r="V5" s="2">
        <v>50</v>
      </c>
      <c r="W5" s="2">
        <v>1</v>
      </c>
      <c r="X5" s="2">
        <v>1</v>
      </c>
      <c r="Y5" s="2">
        <v>2</v>
      </c>
    </row>
    <row r="6" spans="2:25" ht="10.5" customHeight="1">
      <c r="B6" s="5" t="s">
        <v>27</v>
      </c>
      <c r="C6" s="2">
        <v>119</v>
      </c>
      <c r="D6" s="2">
        <v>206</v>
      </c>
      <c r="E6" s="2">
        <v>255</v>
      </c>
      <c r="F6" s="2">
        <v>52</v>
      </c>
      <c r="G6" s="2">
        <v>100</v>
      </c>
      <c r="H6" s="2">
        <v>135</v>
      </c>
      <c r="I6" s="2">
        <v>3868</v>
      </c>
      <c r="J6" s="2">
        <v>134</v>
      </c>
      <c r="K6" s="2">
        <v>139</v>
      </c>
      <c r="L6" s="2">
        <v>2055</v>
      </c>
      <c r="M6" s="2">
        <v>4741</v>
      </c>
      <c r="N6" s="2">
        <v>92</v>
      </c>
      <c r="O6" s="2">
        <v>160</v>
      </c>
      <c r="P6" s="2">
        <v>80</v>
      </c>
      <c r="Q6" s="2">
        <v>65</v>
      </c>
      <c r="R6" s="2">
        <v>120</v>
      </c>
      <c r="S6" s="2">
        <v>68</v>
      </c>
      <c r="T6" s="2">
        <v>19</v>
      </c>
      <c r="U6" s="2">
        <v>61</v>
      </c>
      <c r="V6" s="2">
        <v>101</v>
      </c>
      <c r="W6" s="2">
        <v>2</v>
      </c>
      <c r="X6" s="2">
        <v>5</v>
      </c>
      <c r="Y6" s="2">
        <v>3</v>
      </c>
    </row>
    <row r="7" spans="2:25" ht="10.5" customHeight="1">
      <c r="B7" s="5" t="s">
        <v>28</v>
      </c>
      <c r="C7" s="2">
        <v>314</v>
      </c>
      <c r="D7" s="2">
        <v>585</v>
      </c>
      <c r="E7" s="2">
        <v>637</v>
      </c>
      <c r="F7" s="2">
        <v>224</v>
      </c>
      <c r="G7" s="2">
        <v>278</v>
      </c>
      <c r="H7" s="2">
        <v>498</v>
      </c>
      <c r="I7" s="2">
        <v>12304</v>
      </c>
      <c r="J7" s="2">
        <v>452</v>
      </c>
      <c r="K7" s="2">
        <v>474</v>
      </c>
      <c r="L7" s="2">
        <v>8475</v>
      </c>
      <c r="M7" s="2">
        <v>17396</v>
      </c>
      <c r="N7" s="2">
        <v>266</v>
      </c>
      <c r="O7" s="2">
        <v>748</v>
      </c>
      <c r="P7" s="2">
        <v>317</v>
      </c>
      <c r="Q7" s="2">
        <v>257</v>
      </c>
      <c r="R7" s="2">
        <v>285</v>
      </c>
      <c r="S7" s="2">
        <v>189</v>
      </c>
      <c r="T7" s="2">
        <v>38</v>
      </c>
      <c r="U7" s="2">
        <v>149</v>
      </c>
      <c r="V7" s="2">
        <v>194</v>
      </c>
      <c r="W7" s="2">
        <v>2</v>
      </c>
      <c r="X7" s="2">
        <v>11</v>
      </c>
      <c r="Y7" s="2">
        <v>14</v>
      </c>
    </row>
    <row r="8" spans="2:25" ht="10.5" customHeight="1">
      <c r="B8" s="5" t="s">
        <v>29</v>
      </c>
      <c r="C8" s="2">
        <v>54</v>
      </c>
      <c r="D8" s="2">
        <v>122</v>
      </c>
      <c r="E8" s="2">
        <v>115</v>
      </c>
      <c r="F8" s="2">
        <v>38</v>
      </c>
      <c r="G8" s="2">
        <v>55</v>
      </c>
      <c r="H8" s="2">
        <v>72</v>
      </c>
      <c r="I8" s="2">
        <v>1425</v>
      </c>
      <c r="J8" s="2">
        <v>141</v>
      </c>
      <c r="K8" s="2">
        <v>216</v>
      </c>
      <c r="L8" s="2">
        <v>1022</v>
      </c>
      <c r="M8" s="2">
        <v>1898</v>
      </c>
      <c r="N8" s="2">
        <v>120</v>
      </c>
      <c r="O8" s="2">
        <v>167</v>
      </c>
      <c r="P8" s="2">
        <v>86</v>
      </c>
      <c r="Q8" s="2">
        <v>96</v>
      </c>
      <c r="R8" s="2">
        <v>104</v>
      </c>
      <c r="S8" s="2">
        <v>58</v>
      </c>
      <c r="T8" s="2">
        <v>3</v>
      </c>
      <c r="U8" s="2">
        <v>10</v>
      </c>
      <c r="V8" s="2">
        <v>24</v>
      </c>
      <c r="W8" s="2">
        <v>0</v>
      </c>
      <c r="X8" s="2">
        <v>0</v>
      </c>
      <c r="Y8" s="2">
        <v>1</v>
      </c>
    </row>
    <row r="9" spans="2:25" ht="10.5" customHeight="1">
      <c r="B9" s="5" t="s">
        <v>30</v>
      </c>
      <c r="C9" s="2">
        <v>33</v>
      </c>
      <c r="D9" s="2">
        <v>70</v>
      </c>
      <c r="E9" s="2">
        <v>59</v>
      </c>
      <c r="F9" s="2">
        <v>25</v>
      </c>
      <c r="G9" s="2">
        <v>27</v>
      </c>
      <c r="H9" s="2">
        <v>31</v>
      </c>
      <c r="I9" s="2">
        <v>555</v>
      </c>
      <c r="J9" s="2">
        <v>48</v>
      </c>
      <c r="K9" s="2">
        <v>88</v>
      </c>
      <c r="L9" s="2">
        <v>476</v>
      </c>
      <c r="M9" s="2">
        <v>1175</v>
      </c>
      <c r="N9" s="2">
        <v>51</v>
      </c>
      <c r="O9" s="2">
        <v>49</v>
      </c>
      <c r="P9" s="2">
        <v>13</v>
      </c>
      <c r="Q9" s="2">
        <v>23</v>
      </c>
      <c r="R9" s="2">
        <v>44</v>
      </c>
      <c r="S9" s="2">
        <v>19</v>
      </c>
      <c r="T9" s="2">
        <v>2</v>
      </c>
      <c r="U9" s="2">
        <v>3</v>
      </c>
      <c r="V9" s="2">
        <v>19</v>
      </c>
      <c r="W9" s="2">
        <v>0</v>
      </c>
      <c r="X9" s="2">
        <v>0</v>
      </c>
      <c r="Y9" s="2">
        <v>2</v>
      </c>
    </row>
    <row r="10" spans="2:25" ht="10.5" customHeight="1">
      <c r="B10" s="5" t="s">
        <v>31</v>
      </c>
      <c r="C10" s="2">
        <v>36</v>
      </c>
      <c r="D10" s="2">
        <v>80</v>
      </c>
      <c r="E10" s="2">
        <v>52</v>
      </c>
      <c r="F10" s="2">
        <v>13</v>
      </c>
      <c r="G10" s="2">
        <v>17</v>
      </c>
      <c r="H10" s="2">
        <v>20</v>
      </c>
      <c r="I10" s="2">
        <v>960</v>
      </c>
      <c r="J10" s="2">
        <v>43</v>
      </c>
      <c r="K10" s="2">
        <v>61</v>
      </c>
      <c r="L10" s="2">
        <v>271</v>
      </c>
      <c r="M10" s="2">
        <v>1015</v>
      </c>
      <c r="N10" s="2">
        <v>36</v>
      </c>
      <c r="O10" s="2">
        <v>53</v>
      </c>
      <c r="P10" s="2">
        <v>22</v>
      </c>
      <c r="Q10" s="2">
        <v>18</v>
      </c>
      <c r="R10" s="2">
        <v>36</v>
      </c>
      <c r="S10" s="2">
        <v>19</v>
      </c>
      <c r="T10" s="2">
        <v>4</v>
      </c>
      <c r="U10" s="2">
        <v>18</v>
      </c>
      <c r="V10" s="2">
        <v>14</v>
      </c>
      <c r="W10" s="2">
        <v>0</v>
      </c>
      <c r="X10" s="2">
        <v>2</v>
      </c>
      <c r="Y10" s="2">
        <v>2</v>
      </c>
    </row>
    <row r="11" spans="2:25" ht="10.5" customHeight="1">
      <c r="B11" s="5" t="s">
        <v>32</v>
      </c>
      <c r="C11" s="2">
        <v>26</v>
      </c>
      <c r="D11" s="2">
        <v>53</v>
      </c>
      <c r="E11" s="2">
        <v>55</v>
      </c>
      <c r="F11" s="2">
        <v>24</v>
      </c>
      <c r="G11" s="2">
        <v>15</v>
      </c>
      <c r="H11" s="2">
        <v>33</v>
      </c>
      <c r="I11" s="2">
        <v>1551</v>
      </c>
      <c r="J11" s="2">
        <v>37</v>
      </c>
      <c r="K11" s="2">
        <v>32</v>
      </c>
      <c r="L11" s="2">
        <v>549</v>
      </c>
      <c r="M11" s="2">
        <v>1126</v>
      </c>
      <c r="N11" s="2">
        <v>31</v>
      </c>
      <c r="O11" s="2">
        <v>47</v>
      </c>
      <c r="P11" s="2">
        <v>43</v>
      </c>
      <c r="Q11" s="2">
        <v>18</v>
      </c>
      <c r="R11" s="2">
        <v>26</v>
      </c>
      <c r="S11" s="2">
        <v>17</v>
      </c>
      <c r="T11" s="2">
        <v>7</v>
      </c>
      <c r="U11" s="2">
        <v>28</v>
      </c>
      <c r="V11" s="2">
        <v>23</v>
      </c>
      <c r="W11" s="2">
        <v>0</v>
      </c>
      <c r="X11" s="2">
        <v>1</v>
      </c>
      <c r="Y11" s="2">
        <v>2</v>
      </c>
    </row>
    <row r="12" spans="2:25" ht="10.5" customHeight="1">
      <c r="B12" s="5" t="s">
        <v>33</v>
      </c>
      <c r="C12" s="2">
        <v>275</v>
      </c>
      <c r="D12" s="2">
        <v>608</v>
      </c>
      <c r="E12" s="2">
        <v>702</v>
      </c>
      <c r="F12" s="2">
        <v>200</v>
      </c>
      <c r="G12" s="2">
        <v>241</v>
      </c>
      <c r="H12" s="2">
        <v>442</v>
      </c>
      <c r="I12" s="2">
        <v>13384</v>
      </c>
      <c r="J12" s="2">
        <v>564</v>
      </c>
      <c r="K12" s="2">
        <v>379</v>
      </c>
      <c r="L12" s="2">
        <v>8755</v>
      </c>
      <c r="M12" s="2">
        <v>18970</v>
      </c>
      <c r="N12" s="2">
        <v>241</v>
      </c>
      <c r="O12" s="2">
        <v>0</v>
      </c>
      <c r="P12" s="2">
        <v>313</v>
      </c>
      <c r="Q12" s="2">
        <v>271</v>
      </c>
      <c r="R12" s="2">
        <v>120</v>
      </c>
      <c r="S12" s="2">
        <v>70</v>
      </c>
      <c r="T12" s="2">
        <v>29</v>
      </c>
      <c r="U12" s="2">
        <v>85</v>
      </c>
      <c r="V12" s="2">
        <v>162</v>
      </c>
      <c r="W12" s="2">
        <v>2</v>
      </c>
      <c r="X12" s="2">
        <v>6</v>
      </c>
      <c r="Y12" s="2">
        <v>9</v>
      </c>
    </row>
    <row r="13" spans="2:25" ht="10.5" customHeight="1">
      <c r="B13" s="5" t="s">
        <v>34</v>
      </c>
      <c r="C13" s="2">
        <v>60</v>
      </c>
      <c r="D13" s="2">
        <v>116</v>
      </c>
      <c r="E13" s="2">
        <v>101</v>
      </c>
      <c r="F13" s="2">
        <v>43</v>
      </c>
      <c r="G13" s="2">
        <v>38</v>
      </c>
      <c r="H13" s="2">
        <v>86</v>
      </c>
      <c r="I13" s="2">
        <v>1751</v>
      </c>
      <c r="J13" s="2">
        <v>94</v>
      </c>
      <c r="K13" s="2">
        <v>75</v>
      </c>
      <c r="L13" s="2">
        <v>1043</v>
      </c>
      <c r="M13" s="2">
        <v>2165</v>
      </c>
      <c r="N13" s="2">
        <v>36</v>
      </c>
      <c r="O13" s="2">
        <v>68</v>
      </c>
      <c r="P13" s="2">
        <v>44</v>
      </c>
      <c r="Q13" s="2">
        <v>38</v>
      </c>
      <c r="R13" s="2">
        <v>71</v>
      </c>
      <c r="S13" s="2">
        <v>25</v>
      </c>
      <c r="T13" s="2">
        <v>3</v>
      </c>
      <c r="U13" s="2">
        <v>18</v>
      </c>
      <c r="V13" s="2">
        <v>29</v>
      </c>
      <c r="W13" s="2">
        <v>0</v>
      </c>
      <c r="X13" s="2">
        <v>4</v>
      </c>
      <c r="Y13" s="2">
        <v>0</v>
      </c>
    </row>
    <row r="14" spans="2:25" ht="10.5" customHeight="1">
      <c r="B14" s="5" t="s">
        <v>35</v>
      </c>
      <c r="C14" s="2">
        <v>632</v>
      </c>
      <c r="D14" s="2">
        <v>1088</v>
      </c>
      <c r="E14" s="2">
        <v>1290</v>
      </c>
      <c r="F14" s="2">
        <v>527</v>
      </c>
      <c r="G14" s="2">
        <v>574</v>
      </c>
      <c r="H14" s="2">
        <v>868</v>
      </c>
      <c r="I14" s="2">
        <v>28648</v>
      </c>
      <c r="J14" s="2">
        <v>655</v>
      </c>
      <c r="K14" s="2">
        <v>623</v>
      </c>
      <c r="L14" s="2">
        <v>14440</v>
      </c>
      <c r="M14" s="2">
        <v>31153</v>
      </c>
      <c r="N14" s="2">
        <v>417</v>
      </c>
      <c r="O14" s="2">
        <v>859</v>
      </c>
      <c r="P14" s="2">
        <v>688</v>
      </c>
      <c r="Q14" s="2">
        <v>425</v>
      </c>
      <c r="R14" s="2">
        <v>496</v>
      </c>
      <c r="S14" s="2">
        <v>367</v>
      </c>
      <c r="T14" s="2">
        <v>38</v>
      </c>
      <c r="U14" s="2">
        <v>185</v>
      </c>
      <c r="V14" s="2">
        <v>311</v>
      </c>
      <c r="W14" s="2">
        <v>13</v>
      </c>
      <c r="X14" s="2">
        <v>20</v>
      </c>
      <c r="Y14" s="2">
        <v>22</v>
      </c>
    </row>
    <row r="15" spans="2:25" ht="10.5" customHeight="1">
      <c r="B15" s="5" t="s">
        <v>36</v>
      </c>
      <c r="C15" s="2">
        <v>11</v>
      </c>
      <c r="D15" s="2">
        <v>22</v>
      </c>
      <c r="E15" s="2">
        <v>21</v>
      </c>
      <c r="F15" s="2">
        <v>11</v>
      </c>
      <c r="G15" s="2">
        <v>13</v>
      </c>
      <c r="H15" s="2">
        <v>13</v>
      </c>
      <c r="I15" s="2">
        <v>334</v>
      </c>
      <c r="J15" s="2">
        <v>15</v>
      </c>
      <c r="K15" s="2">
        <v>24</v>
      </c>
      <c r="L15" s="2">
        <v>246</v>
      </c>
      <c r="M15" s="2">
        <v>420</v>
      </c>
      <c r="N15" s="2">
        <v>9</v>
      </c>
      <c r="O15" s="2">
        <v>13</v>
      </c>
      <c r="P15" s="2">
        <v>10</v>
      </c>
      <c r="Q15" s="2">
        <v>10</v>
      </c>
      <c r="R15" s="2">
        <v>25</v>
      </c>
      <c r="S15" s="2">
        <v>15</v>
      </c>
      <c r="T15" s="2">
        <v>3</v>
      </c>
      <c r="U15" s="2">
        <v>7</v>
      </c>
      <c r="V15" s="2">
        <v>15</v>
      </c>
      <c r="W15" s="2">
        <v>1</v>
      </c>
      <c r="X15" s="2">
        <v>1</v>
      </c>
      <c r="Y15" s="2">
        <v>0</v>
      </c>
    </row>
    <row r="16" spans="1:25" ht="10.5" customHeight="1">
      <c r="A16" s="3" t="s">
        <v>123</v>
      </c>
      <c r="C16" s="2">
        <v>1680</v>
      </c>
      <c r="D16" s="2">
        <v>3152</v>
      </c>
      <c r="E16" s="2">
        <v>3474</v>
      </c>
      <c r="F16" s="2">
        <v>1239</v>
      </c>
      <c r="G16" s="2">
        <v>1445</v>
      </c>
      <c r="H16" s="2">
        <v>2302</v>
      </c>
      <c r="I16" s="2">
        <v>68211</v>
      </c>
      <c r="J16" s="2">
        <v>2332</v>
      </c>
      <c r="K16" s="2">
        <v>2307</v>
      </c>
      <c r="L16" s="2">
        <v>39107</v>
      </c>
      <c r="M16" s="2">
        <v>83923</v>
      </c>
      <c r="N16" s="2">
        <v>1386</v>
      </c>
      <c r="O16" s="2">
        <v>2287</v>
      </c>
      <c r="P16" s="2">
        <v>1697</v>
      </c>
      <c r="Q16" s="2">
        <v>1308</v>
      </c>
      <c r="R16" s="2">
        <v>1409</v>
      </c>
      <c r="S16" s="2">
        <v>907</v>
      </c>
      <c r="T16" s="2">
        <v>153</v>
      </c>
      <c r="U16" s="2">
        <v>586</v>
      </c>
      <c r="V16" s="2">
        <v>943</v>
      </c>
      <c r="W16" s="2">
        <v>21</v>
      </c>
      <c r="X16" s="2">
        <v>51</v>
      </c>
      <c r="Y16" s="2">
        <v>57</v>
      </c>
    </row>
    <row r="17" spans="2:25" s="4" customFormat="1" ht="10.5" customHeight="1">
      <c r="B17" s="6" t="s">
        <v>128</v>
      </c>
      <c r="C17" s="4">
        <f aca="true" t="shared" si="0" ref="C17:I17">C16/81503</f>
        <v>0.020612738181416634</v>
      </c>
      <c r="D17" s="4">
        <f t="shared" si="0"/>
        <v>0.038673423064181686</v>
      </c>
      <c r="E17" s="4">
        <f t="shared" si="0"/>
        <v>0.042624197882286545</v>
      </c>
      <c r="F17" s="4">
        <f t="shared" si="0"/>
        <v>0.015201894408794768</v>
      </c>
      <c r="G17" s="4">
        <f t="shared" si="0"/>
        <v>0.017729408733420857</v>
      </c>
      <c r="H17" s="4">
        <f t="shared" si="0"/>
        <v>0.028244359103345888</v>
      </c>
      <c r="I17" s="4">
        <f t="shared" si="0"/>
        <v>0.8369139786265536</v>
      </c>
      <c r="J17" s="4">
        <f>J16/134347</f>
        <v>0.01735803553484633</v>
      </c>
      <c r="K17" s="4">
        <f>K16/134347</f>
        <v>0.017171950248237772</v>
      </c>
      <c r="L17" s="4">
        <f>L16/134347</f>
        <v>0.2910894921360358</v>
      </c>
      <c r="M17" s="4">
        <f>M16/134347</f>
        <v>0.624673420322002</v>
      </c>
      <c r="N17" s="4">
        <f>N16/134347</f>
        <v>0.01031656828957848</v>
      </c>
      <c r="O17" s="4">
        <f>O16/104854</f>
        <v>0.021811280447097868</v>
      </c>
      <c r="P17" s="4">
        <f>P16/134347</f>
        <v>0.012631469254988946</v>
      </c>
      <c r="Q17" s="4">
        <f>Q16/134347</f>
        <v>0.009735982195359778</v>
      </c>
      <c r="R17" s="4">
        <f>R16/2316</f>
        <v>0.6083765112262521</v>
      </c>
      <c r="S17" s="4">
        <f>S16/2316</f>
        <v>0.39162348877374786</v>
      </c>
      <c r="T17" s="4">
        <f>T16/739</f>
        <v>0.2070365358592693</v>
      </c>
      <c r="U17" s="4">
        <f>U16/739</f>
        <v>0.7929634641407307</v>
      </c>
      <c r="V17" s="4">
        <f>V16/943</f>
        <v>1</v>
      </c>
      <c r="W17" s="4">
        <f>W16/129</f>
        <v>0.16279069767441862</v>
      </c>
      <c r="X17" s="4">
        <f>X16/129</f>
        <v>0.3953488372093023</v>
      </c>
      <c r="Y17" s="4">
        <f>Y16/129</f>
        <v>0.4418604651162791</v>
      </c>
    </row>
    <row r="18" spans="2:25" ht="10.5" customHeight="1"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0.5" customHeight="1">
      <c r="A19" s="3" t="s">
        <v>44</v>
      </c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2:25" ht="10.5" customHeight="1">
      <c r="B20" s="5" t="s">
        <v>38</v>
      </c>
      <c r="C20" s="2">
        <v>378</v>
      </c>
      <c r="D20" s="2">
        <v>510</v>
      </c>
      <c r="E20" s="2">
        <v>511</v>
      </c>
      <c r="F20" s="2">
        <v>181</v>
      </c>
      <c r="G20" s="2">
        <v>306</v>
      </c>
      <c r="H20" s="2">
        <v>312</v>
      </c>
      <c r="I20" s="2">
        <v>14407</v>
      </c>
      <c r="J20" s="2">
        <v>311</v>
      </c>
      <c r="K20" s="2">
        <v>313</v>
      </c>
      <c r="L20" s="2">
        <v>3005</v>
      </c>
      <c r="M20" s="2">
        <v>7518</v>
      </c>
      <c r="N20" s="2">
        <v>232</v>
      </c>
      <c r="O20" s="2">
        <v>462</v>
      </c>
      <c r="P20" s="2">
        <v>200</v>
      </c>
      <c r="Q20" s="2">
        <v>134</v>
      </c>
      <c r="R20" s="2">
        <v>241</v>
      </c>
      <c r="S20" s="2">
        <v>102</v>
      </c>
      <c r="T20" s="2">
        <v>131</v>
      </c>
      <c r="U20" s="2">
        <v>580</v>
      </c>
      <c r="V20" s="2">
        <v>153</v>
      </c>
      <c r="W20" s="2">
        <v>6</v>
      </c>
      <c r="X20" s="2">
        <v>17</v>
      </c>
      <c r="Y20" s="2">
        <v>12</v>
      </c>
    </row>
    <row r="21" spans="2:25" ht="10.5" customHeight="1">
      <c r="B21" s="5" t="s">
        <v>39</v>
      </c>
      <c r="C21" s="2">
        <v>213</v>
      </c>
      <c r="D21" s="2">
        <v>229</v>
      </c>
      <c r="E21" s="2">
        <v>256</v>
      </c>
      <c r="F21" s="2">
        <v>75</v>
      </c>
      <c r="G21" s="2">
        <v>160</v>
      </c>
      <c r="H21" s="2">
        <v>133</v>
      </c>
      <c r="I21" s="2">
        <v>6108</v>
      </c>
      <c r="J21" s="2">
        <v>119</v>
      </c>
      <c r="K21" s="2">
        <v>172</v>
      </c>
      <c r="L21" s="2">
        <v>952</v>
      </c>
      <c r="M21" s="2">
        <v>4198</v>
      </c>
      <c r="N21" s="2">
        <v>106</v>
      </c>
      <c r="O21" s="2">
        <v>171</v>
      </c>
      <c r="P21" s="2">
        <v>69</v>
      </c>
      <c r="Q21" s="2">
        <v>68</v>
      </c>
      <c r="R21" s="2">
        <v>166</v>
      </c>
      <c r="S21" s="2">
        <v>94</v>
      </c>
      <c r="T21" s="2">
        <v>22</v>
      </c>
      <c r="U21" s="2">
        <v>106</v>
      </c>
      <c r="V21" s="2">
        <v>66</v>
      </c>
      <c r="W21" s="2">
        <v>2</v>
      </c>
      <c r="X21" s="2">
        <v>9</v>
      </c>
      <c r="Y21" s="2">
        <v>10</v>
      </c>
    </row>
    <row r="22" spans="2:25" ht="10.5" customHeight="1">
      <c r="B22" s="5" t="s">
        <v>40</v>
      </c>
      <c r="C22" s="2">
        <v>191</v>
      </c>
      <c r="D22" s="2">
        <v>256</v>
      </c>
      <c r="E22" s="2">
        <v>247</v>
      </c>
      <c r="F22" s="2">
        <v>94</v>
      </c>
      <c r="G22" s="2">
        <v>181</v>
      </c>
      <c r="H22" s="2">
        <v>147</v>
      </c>
      <c r="I22" s="2">
        <v>10648</v>
      </c>
      <c r="J22" s="2">
        <v>133</v>
      </c>
      <c r="K22" s="2">
        <v>122</v>
      </c>
      <c r="L22" s="2">
        <v>901</v>
      </c>
      <c r="M22" s="2">
        <v>4560</v>
      </c>
      <c r="N22" s="2">
        <v>105</v>
      </c>
      <c r="O22" s="2">
        <v>167</v>
      </c>
      <c r="P22" s="2">
        <v>68</v>
      </c>
      <c r="Q22" s="2">
        <v>70</v>
      </c>
      <c r="R22" s="2">
        <v>143</v>
      </c>
      <c r="S22" s="2">
        <v>66</v>
      </c>
      <c r="T22" s="2">
        <v>102</v>
      </c>
      <c r="U22" s="2">
        <v>359</v>
      </c>
      <c r="V22" s="2">
        <v>104</v>
      </c>
      <c r="W22" s="2">
        <v>6</v>
      </c>
      <c r="X22" s="2">
        <v>18</v>
      </c>
      <c r="Y22" s="2">
        <v>11</v>
      </c>
    </row>
    <row r="23" spans="2:25" ht="10.5" customHeight="1">
      <c r="B23" s="5" t="s">
        <v>41</v>
      </c>
      <c r="C23" s="2">
        <v>199</v>
      </c>
      <c r="D23" s="2">
        <v>404</v>
      </c>
      <c r="E23" s="2">
        <v>375</v>
      </c>
      <c r="F23" s="2">
        <v>108</v>
      </c>
      <c r="G23" s="2">
        <v>270</v>
      </c>
      <c r="H23" s="2">
        <v>297</v>
      </c>
      <c r="I23" s="2">
        <v>13123</v>
      </c>
      <c r="J23" s="2">
        <v>220</v>
      </c>
      <c r="K23" s="2">
        <v>144</v>
      </c>
      <c r="L23" s="2">
        <v>2256</v>
      </c>
      <c r="M23" s="2">
        <v>8100</v>
      </c>
      <c r="N23" s="2">
        <v>102</v>
      </c>
      <c r="O23" s="2">
        <v>199</v>
      </c>
      <c r="P23" s="2">
        <v>123</v>
      </c>
      <c r="Q23" s="2">
        <v>107</v>
      </c>
      <c r="R23" s="2">
        <v>158</v>
      </c>
      <c r="S23" s="2">
        <v>106</v>
      </c>
      <c r="T23" s="2">
        <v>38</v>
      </c>
      <c r="U23" s="2">
        <v>116</v>
      </c>
      <c r="V23" s="2">
        <v>100</v>
      </c>
      <c r="W23" s="2">
        <v>1</v>
      </c>
      <c r="X23" s="2">
        <v>10</v>
      </c>
      <c r="Y23" s="2">
        <v>7</v>
      </c>
    </row>
    <row r="24" spans="2:25" ht="10.5" customHeight="1">
      <c r="B24" s="5" t="s">
        <v>42</v>
      </c>
      <c r="C24" s="2">
        <v>272</v>
      </c>
      <c r="D24" s="2">
        <v>386</v>
      </c>
      <c r="E24" s="2">
        <v>491</v>
      </c>
      <c r="F24" s="2">
        <v>139</v>
      </c>
      <c r="G24" s="2">
        <v>264</v>
      </c>
      <c r="H24" s="2">
        <v>285</v>
      </c>
      <c r="I24" s="2">
        <v>16341</v>
      </c>
      <c r="J24" s="2">
        <v>162</v>
      </c>
      <c r="K24" s="2">
        <v>149</v>
      </c>
      <c r="L24" s="2">
        <v>2190</v>
      </c>
      <c r="M24" s="2">
        <v>6630</v>
      </c>
      <c r="N24" s="2">
        <v>128</v>
      </c>
      <c r="O24" s="2">
        <v>248</v>
      </c>
      <c r="P24" s="2">
        <v>183</v>
      </c>
      <c r="Q24" s="2">
        <v>87</v>
      </c>
      <c r="R24" s="2">
        <v>164</v>
      </c>
      <c r="S24" s="2">
        <v>116</v>
      </c>
      <c r="T24" s="2">
        <v>12</v>
      </c>
      <c r="U24" s="2">
        <v>77</v>
      </c>
      <c r="V24" s="2">
        <v>78</v>
      </c>
      <c r="W24" s="2">
        <v>2</v>
      </c>
      <c r="X24" s="2">
        <v>6</v>
      </c>
      <c r="Y24" s="2">
        <v>14</v>
      </c>
    </row>
    <row r="25" spans="2:25" ht="10.5" customHeight="1">
      <c r="B25" s="5" t="s">
        <v>43</v>
      </c>
      <c r="C25" s="2">
        <v>589</v>
      </c>
      <c r="D25" s="2">
        <v>1022</v>
      </c>
      <c r="E25" s="2">
        <v>787</v>
      </c>
      <c r="F25" s="2">
        <v>300</v>
      </c>
      <c r="G25" s="2">
        <v>726</v>
      </c>
      <c r="H25" s="2">
        <v>643</v>
      </c>
      <c r="I25" s="2">
        <v>41717</v>
      </c>
      <c r="J25" s="2">
        <v>443</v>
      </c>
      <c r="K25" s="2">
        <v>394</v>
      </c>
      <c r="L25" s="2">
        <v>5137</v>
      </c>
      <c r="M25" s="2">
        <v>15595</v>
      </c>
      <c r="N25" s="2">
        <v>285</v>
      </c>
      <c r="O25" s="2">
        <v>654</v>
      </c>
      <c r="P25" s="2">
        <v>237</v>
      </c>
      <c r="Q25" s="2">
        <v>346</v>
      </c>
      <c r="R25" s="2">
        <v>335</v>
      </c>
      <c r="S25" s="2">
        <v>206</v>
      </c>
      <c r="T25" s="2">
        <v>177</v>
      </c>
      <c r="U25" s="2">
        <v>662</v>
      </c>
      <c r="V25" s="2">
        <v>291</v>
      </c>
      <c r="W25" s="2">
        <v>13</v>
      </c>
      <c r="X25" s="2">
        <v>58</v>
      </c>
      <c r="Y25" s="2">
        <v>33</v>
      </c>
    </row>
    <row r="26" spans="1:25" ht="10.5" customHeight="1">
      <c r="A26" s="3" t="s">
        <v>123</v>
      </c>
      <c r="C26" s="2">
        <v>1842</v>
      </c>
      <c r="D26" s="2">
        <v>2807</v>
      </c>
      <c r="E26" s="2">
        <v>2667</v>
      </c>
      <c r="F26" s="2">
        <v>897</v>
      </c>
      <c r="G26" s="2">
        <v>1907</v>
      </c>
      <c r="H26" s="2">
        <v>1817</v>
      </c>
      <c r="I26" s="2">
        <v>102344</v>
      </c>
      <c r="J26" s="2">
        <v>1388</v>
      </c>
      <c r="K26" s="2">
        <v>1294</v>
      </c>
      <c r="L26" s="2">
        <v>14441</v>
      </c>
      <c r="M26" s="2">
        <v>46601</v>
      </c>
      <c r="N26" s="2">
        <v>958</v>
      </c>
      <c r="O26" s="2">
        <v>1901</v>
      </c>
      <c r="P26" s="2">
        <v>880</v>
      </c>
      <c r="Q26" s="2">
        <v>812</v>
      </c>
      <c r="R26" s="2">
        <v>1207</v>
      </c>
      <c r="S26" s="2">
        <v>690</v>
      </c>
      <c r="T26" s="2">
        <v>482</v>
      </c>
      <c r="U26" s="2">
        <v>1900</v>
      </c>
      <c r="V26" s="2">
        <v>792</v>
      </c>
      <c r="W26" s="2">
        <v>30</v>
      </c>
      <c r="X26" s="2">
        <v>118</v>
      </c>
      <c r="Y26" s="2">
        <v>87</v>
      </c>
    </row>
    <row r="27" spans="2:25" s="4" customFormat="1" ht="10.5" customHeight="1">
      <c r="B27" s="6" t="s">
        <v>128</v>
      </c>
      <c r="C27" s="4">
        <f aca="true" t="shared" si="1" ref="C27:I27">C26/114281</f>
        <v>0.016118164874301066</v>
      </c>
      <c r="D27" s="4">
        <f t="shared" si="1"/>
        <v>0.024562263193356727</v>
      </c>
      <c r="E27" s="4">
        <f t="shared" si="1"/>
        <v>0.023337212660022227</v>
      </c>
      <c r="F27" s="4">
        <f t="shared" si="1"/>
        <v>0.00784907377429319</v>
      </c>
      <c r="G27" s="4">
        <f t="shared" si="1"/>
        <v>0.01668693833620637</v>
      </c>
      <c r="H27" s="4">
        <f t="shared" si="1"/>
        <v>0.015899405850491332</v>
      </c>
      <c r="I27" s="4">
        <f t="shared" si="1"/>
        <v>0.8955469413113291</v>
      </c>
      <c r="J27" s="4">
        <f aca="true" t="shared" si="2" ref="J27:Q27">J26/68275</f>
        <v>0.02032954961552545</v>
      </c>
      <c r="K27" s="4">
        <f t="shared" si="2"/>
        <v>0.01895276455510802</v>
      </c>
      <c r="L27" s="4">
        <f t="shared" si="2"/>
        <v>0.21151226656902233</v>
      </c>
      <c r="M27" s="4">
        <f t="shared" si="2"/>
        <v>0.6825485170267301</v>
      </c>
      <c r="N27" s="4">
        <f t="shared" si="2"/>
        <v>0.014031490296594654</v>
      </c>
      <c r="O27" s="4">
        <f t="shared" si="2"/>
        <v>0.027843280849505676</v>
      </c>
      <c r="P27" s="4">
        <f t="shared" si="2"/>
        <v>0.012889051629439766</v>
      </c>
      <c r="Q27" s="4">
        <f t="shared" si="2"/>
        <v>0.011893079458073965</v>
      </c>
      <c r="R27" s="4">
        <f>R26/1897</f>
        <v>0.6362677912493411</v>
      </c>
      <c r="S27" s="4">
        <f>S26/1897</f>
        <v>0.3637322087506589</v>
      </c>
      <c r="T27" s="4">
        <f>T26/2382</f>
        <v>0.20235096557514692</v>
      </c>
      <c r="U27" s="4">
        <f>U26/2382</f>
        <v>0.797649034424853</v>
      </c>
      <c r="V27" s="4">
        <f>V26/792</f>
        <v>1</v>
      </c>
      <c r="W27" s="4">
        <f>W26/235</f>
        <v>0.1276595744680851</v>
      </c>
      <c r="X27" s="4">
        <f>X26/235</f>
        <v>0.502127659574468</v>
      </c>
      <c r="Y27" s="4">
        <f>Y26/235</f>
        <v>0.3702127659574468</v>
      </c>
    </row>
    <row r="28" spans="2:25" ht="10.5" customHeight="1"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0.5" customHeight="1">
      <c r="A29" s="3" t="s">
        <v>47</v>
      </c>
      <c r="B29" s="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2:25" ht="10.5" customHeight="1">
      <c r="B30" s="5" t="s">
        <v>45</v>
      </c>
      <c r="C30" s="2">
        <v>322</v>
      </c>
      <c r="D30" s="2">
        <v>710</v>
      </c>
      <c r="E30" s="2">
        <v>472</v>
      </c>
      <c r="F30" s="2">
        <v>211</v>
      </c>
      <c r="G30" s="2">
        <v>361</v>
      </c>
      <c r="H30" s="2">
        <v>436</v>
      </c>
      <c r="I30" s="2">
        <v>42300</v>
      </c>
      <c r="J30" s="2">
        <v>246</v>
      </c>
      <c r="K30" s="2">
        <v>138</v>
      </c>
      <c r="L30" s="2">
        <v>4568</v>
      </c>
      <c r="M30" s="2">
        <v>13837</v>
      </c>
      <c r="N30" s="2">
        <v>109</v>
      </c>
      <c r="O30" s="2">
        <v>326</v>
      </c>
      <c r="P30" s="2">
        <v>72</v>
      </c>
      <c r="Q30" s="2">
        <v>283</v>
      </c>
      <c r="R30" s="2">
        <v>168</v>
      </c>
      <c r="S30" s="2">
        <v>142</v>
      </c>
      <c r="T30" s="2">
        <v>109</v>
      </c>
      <c r="U30" s="2">
        <v>412</v>
      </c>
      <c r="V30" s="2">
        <v>233</v>
      </c>
      <c r="W30" s="2">
        <v>10</v>
      </c>
      <c r="X30" s="2">
        <v>23</v>
      </c>
      <c r="Y30" s="2">
        <v>16</v>
      </c>
    </row>
    <row r="31" spans="2:25" ht="10.5" customHeight="1">
      <c r="B31" s="5" t="s">
        <v>46</v>
      </c>
      <c r="C31" s="2">
        <v>480</v>
      </c>
      <c r="D31" s="2">
        <v>867</v>
      </c>
      <c r="E31" s="2">
        <v>583</v>
      </c>
      <c r="F31" s="2">
        <v>470</v>
      </c>
      <c r="G31" s="2">
        <v>596</v>
      </c>
      <c r="H31" s="2">
        <v>789</v>
      </c>
      <c r="I31" s="2">
        <v>55825</v>
      </c>
      <c r="J31" s="2">
        <v>170</v>
      </c>
      <c r="K31" s="2">
        <v>114</v>
      </c>
      <c r="L31" s="2">
        <v>2974</v>
      </c>
      <c r="M31" s="2">
        <v>6392</v>
      </c>
      <c r="N31" s="2">
        <v>89</v>
      </c>
      <c r="O31" s="2">
        <v>153</v>
      </c>
      <c r="P31" s="2">
        <v>98</v>
      </c>
      <c r="Q31" s="2">
        <v>104</v>
      </c>
      <c r="R31" s="2">
        <v>205</v>
      </c>
      <c r="S31" s="2">
        <v>151</v>
      </c>
      <c r="T31" s="2">
        <v>204</v>
      </c>
      <c r="U31" s="2">
        <v>1241</v>
      </c>
      <c r="V31" s="2">
        <v>287</v>
      </c>
      <c r="W31" s="2">
        <v>22</v>
      </c>
      <c r="X31" s="2">
        <v>110</v>
      </c>
      <c r="Y31" s="2">
        <v>54</v>
      </c>
    </row>
    <row r="32" spans="2:25" ht="10.5" customHeight="1">
      <c r="B32" s="5" t="s">
        <v>43</v>
      </c>
      <c r="C32" s="2">
        <v>322</v>
      </c>
      <c r="D32" s="2">
        <v>734</v>
      </c>
      <c r="E32" s="2">
        <v>486</v>
      </c>
      <c r="F32" s="2">
        <v>179</v>
      </c>
      <c r="G32" s="2">
        <v>317</v>
      </c>
      <c r="H32" s="2">
        <v>484</v>
      </c>
      <c r="I32" s="2">
        <v>22492</v>
      </c>
      <c r="J32" s="2">
        <v>279</v>
      </c>
      <c r="K32" s="2">
        <v>223</v>
      </c>
      <c r="L32" s="2">
        <v>2888</v>
      </c>
      <c r="M32" s="2">
        <v>9388</v>
      </c>
      <c r="N32" s="2">
        <v>181</v>
      </c>
      <c r="O32" s="2">
        <v>374</v>
      </c>
      <c r="P32" s="2">
        <v>115</v>
      </c>
      <c r="Q32" s="2">
        <v>195</v>
      </c>
      <c r="R32" s="2">
        <v>194</v>
      </c>
      <c r="S32" s="2">
        <v>134</v>
      </c>
      <c r="T32" s="2">
        <v>107</v>
      </c>
      <c r="U32" s="2">
        <v>295</v>
      </c>
      <c r="V32" s="2">
        <v>163</v>
      </c>
      <c r="W32" s="2">
        <v>8</v>
      </c>
      <c r="X32" s="2">
        <v>26</v>
      </c>
      <c r="Y32" s="2">
        <v>21</v>
      </c>
    </row>
    <row r="33" spans="1:25" ht="10.5" customHeight="1">
      <c r="A33" s="3" t="s">
        <v>123</v>
      </c>
      <c r="C33" s="2">
        <v>1124</v>
      </c>
      <c r="D33" s="2">
        <v>2311</v>
      </c>
      <c r="E33" s="2">
        <v>1541</v>
      </c>
      <c r="F33" s="2">
        <v>860</v>
      </c>
      <c r="G33" s="2">
        <v>1274</v>
      </c>
      <c r="H33" s="2">
        <v>1709</v>
      </c>
      <c r="I33" s="2">
        <v>120617</v>
      </c>
      <c r="J33" s="2">
        <v>695</v>
      </c>
      <c r="K33" s="2">
        <v>475</v>
      </c>
      <c r="L33" s="2">
        <v>10430</v>
      </c>
      <c r="M33" s="2">
        <v>29617</v>
      </c>
      <c r="N33" s="2">
        <v>379</v>
      </c>
      <c r="O33" s="2">
        <v>853</v>
      </c>
      <c r="P33" s="2">
        <v>285</v>
      </c>
      <c r="Q33" s="2">
        <v>582</v>
      </c>
      <c r="R33" s="2">
        <v>567</v>
      </c>
      <c r="S33" s="2">
        <v>427</v>
      </c>
      <c r="T33" s="2">
        <v>420</v>
      </c>
      <c r="U33" s="2">
        <v>1948</v>
      </c>
      <c r="V33" s="2">
        <v>683</v>
      </c>
      <c r="W33" s="2">
        <v>40</v>
      </c>
      <c r="X33" s="2">
        <v>159</v>
      </c>
      <c r="Y33" s="2">
        <v>91</v>
      </c>
    </row>
    <row r="34" spans="2:25" s="4" customFormat="1" ht="10.5" customHeight="1">
      <c r="B34" s="6" t="s">
        <v>128</v>
      </c>
      <c r="C34" s="4">
        <f aca="true" t="shared" si="3" ref="C34:I34">C33/129436</f>
        <v>0.008683828301245403</v>
      </c>
      <c r="D34" s="4">
        <f t="shared" si="3"/>
        <v>0.017854383633610433</v>
      </c>
      <c r="E34" s="4">
        <f t="shared" si="3"/>
        <v>0.011905497697703885</v>
      </c>
      <c r="F34" s="4">
        <f t="shared" si="3"/>
        <v>0.006644210266077443</v>
      </c>
      <c r="G34" s="4">
        <f t="shared" si="3"/>
        <v>0.009842702184863562</v>
      </c>
      <c r="H34" s="4">
        <f t="shared" si="3"/>
        <v>0.013203436447356222</v>
      </c>
      <c r="I34" s="4">
        <f t="shared" si="3"/>
        <v>0.931865941469143</v>
      </c>
      <c r="J34" s="4">
        <f aca="true" t="shared" si="4" ref="J34:Q34">J33/43316</f>
        <v>0.01604487949025764</v>
      </c>
      <c r="K34" s="4">
        <f t="shared" si="4"/>
        <v>0.01096592483147105</v>
      </c>
      <c r="L34" s="4">
        <f t="shared" si="4"/>
        <v>0.24078862314156432</v>
      </c>
      <c r="M34" s="4">
        <f t="shared" si="4"/>
        <v>0.6837427278603749</v>
      </c>
      <c r="N34" s="4">
        <f t="shared" si="4"/>
        <v>0.0087496537076369</v>
      </c>
      <c r="O34" s="4">
        <f t="shared" si="4"/>
        <v>0.019692492381568012</v>
      </c>
      <c r="P34" s="4">
        <f t="shared" si="4"/>
        <v>0.00657955489888263</v>
      </c>
      <c r="Q34" s="4">
        <f t="shared" si="4"/>
        <v>0.013436143688244528</v>
      </c>
      <c r="R34" s="4">
        <f>R33/994</f>
        <v>0.5704225352112676</v>
      </c>
      <c r="S34" s="4">
        <f>S33/994</f>
        <v>0.4295774647887324</v>
      </c>
      <c r="T34" s="4">
        <f>T33/2368</f>
        <v>0.17736486486486486</v>
      </c>
      <c r="U34" s="4">
        <f>U33/2368</f>
        <v>0.8226351351351351</v>
      </c>
      <c r="V34" s="4">
        <f>V33/683</f>
        <v>1</v>
      </c>
      <c r="W34" s="4">
        <f>W33/290</f>
        <v>0.13793103448275862</v>
      </c>
      <c r="X34" s="4">
        <f>X33/290</f>
        <v>0.5482758620689655</v>
      </c>
      <c r="Y34" s="4">
        <f>Y33/290</f>
        <v>0.3137931034482759</v>
      </c>
    </row>
    <row r="35" spans="2:25" ht="10.5" customHeight="1"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0.5" customHeight="1">
      <c r="A36" s="3" t="s">
        <v>58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25" ht="10.5" customHeight="1">
      <c r="B37" s="5" t="s">
        <v>48</v>
      </c>
      <c r="C37" s="2">
        <v>452</v>
      </c>
      <c r="D37" s="2">
        <v>768</v>
      </c>
      <c r="E37" s="2">
        <v>756</v>
      </c>
      <c r="F37" s="2">
        <v>373</v>
      </c>
      <c r="G37" s="2">
        <v>312</v>
      </c>
      <c r="H37" s="2">
        <v>474</v>
      </c>
      <c r="I37" s="2">
        <v>14994</v>
      </c>
      <c r="J37" s="2">
        <v>507</v>
      </c>
      <c r="K37" s="2">
        <v>598</v>
      </c>
      <c r="L37" s="2">
        <v>7753</v>
      </c>
      <c r="M37" s="2">
        <v>16093</v>
      </c>
      <c r="N37" s="2">
        <v>331</v>
      </c>
      <c r="O37" s="2">
        <v>860</v>
      </c>
      <c r="P37" s="2">
        <v>289</v>
      </c>
      <c r="Q37" s="2">
        <v>339</v>
      </c>
      <c r="R37" s="2">
        <v>305</v>
      </c>
      <c r="S37" s="2">
        <v>170</v>
      </c>
      <c r="T37" s="2">
        <v>44</v>
      </c>
      <c r="U37" s="2">
        <v>257</v>
      </c>
      <c r="V37" s="2">
        <v>183</v>
      </c>
      <c r="W37" s="2">
        <v>5</v>
      </c>
      <c r="X37" s="2">
        <v>21</v>
      </c>
      <c r="Y37" s="2">
        <v>19</v>
      </c>
    </row>
    <row r="38" spans="2:25" ht="10.5" customHeight="1">
      <c r="B38" s="5" t="s">
        <v>49</v>
      </c>
      <c r="C38" s="2">
        <v>40</v>
      </c>
      <c r="D38" s="2">
        <v>70</v>
      </c>
      <c r="E38" s="2">
        <v>77</v>
      </c>
      <c r="F38" s="2">
        <v>22</v>
      </c>
      <c r="G38" s="2">
        <v>29</v>
      </c>
      <c r="H38" s="2">
        <v>34</v>
      </c>
      <c r="I38" s="2">
        <v>730</v>
      </c>
      <c r="J38" s="2">
        <v>36</v>
      </c>
      <c r="K38" s="2">
        <v>34</v>
      </c>
      <c r="L38" s="2">
        <v>608</v>
      </c>
      <c r="M38" s="2">
        <v>1388</v>
      </c>
      <c r="N38" s="2">
        <v>15</v>
      </c>
      <c r="O38" s="2">
        <v>32</v>
      </c>
      <c r="P38" s="2">
        <v>16</v>
      </c>
      <c r="Q38" s="2">
        <v>16</v>
      </c>
      <c r="R38" s="2">
        <v>15</v>
      </c>
      <c r="S38" s="2">
        <v>7</v>
      </c>
      <c r="T38" s="2">
        <v>1</v>
      </c>
      <c r="U38" s="2">
        <v>8</v>
      </c>
      <c r="V38" s="2">
        <v>7</v>
      </c>
      <c r="W38" s="2">
        <v>0</v>
      </c>
      <c r="X38" s="2">
        <v>3</v>
      </c>
      <c r="Y38" s="2">
        <v>0</v>
      </c>
    </row>
    <row r="39" spans="2:25" ht="10.5" customHeight="1">
      <c r="B39" s="5" t="s">
        <v>50</v>
      </c>
      <c r="C39" s="2">
        <v>60</v>
      </c>
      <c r="D39" s="2">
        <v>106</v>
      </c>
      <c r="E39" s="2">
        <v>87</v>
      </c>
      <c r="F39" s="2">
        <v>39</v>
      </c>
      <c r="G39" s="2">
        <v>53</v>
      </c>
      <c r="H39" s="2">
        <v>48</v>
      </c>
      <c r="I39" s="2">
        <v>2048</v>
      </c>
      <c r="J39" s="2">
        <v>68</v>
      </c>
      <c r="K39" s="2">
        <v>98</v>
      </c>
      <c r="L39" s="2">
        <v>853</v>
      </c>
      <c r="M39" s="2">
        <v>1456</v>
      </c>
      <c r="N39" s="2">
        <v>74</v>
      </c>
      <c r="O39" s="2">
        <v>92</v>
      </c>
      <c r="P39" s="2">
        <v>51</v>
      </c>
      <c r="Q39" s="2">
        <v>50</v>
      </c>
      <c r="R39" s="2">
        <v>70</v>
      </c>
      <c r="S39" s="2">
        <v>43</v>
      </c>
      <c r="T39" s="2">
        <v>7</v>
      </c>
      <c r="U39" s="2">
        <v>17</v>
      </c>
      <c r="V39" s="2">
        <v>18</v>
      </c>
      <c r="W39" s="2">
        <v>0</v>
      </c>
      <c r="X39" s="2">
        <v>4</v>
      </c>
      <c r="Y39" s="2">
        <v>4</v>
      </c>
    </row>
    <row r="40" spans="2:25" ht="10.5" customHeight="1">
      <c r="B40" s="5" t="s">
        <v>51</v>
      </c>
      <c r="C40" s="2">
        <v>77</v>
      </c>
      <c r="D40" s="2">
        <v>134</v>
      </c>
      <c r="E40" s="2">
        <v>166</v>
      </c>
      <c r="F40" s="2">
        <v>48</v>
      </c>
      <c r="G40" s="2">
        <v>33</v>
      </c>
      <c r="H40" s="2">
        <v>62</v>
      </c>
      <c r="I40" s="2">
        <v>1232</v>
      </c>
      <c r="J40" s="2">
        <v>76</v>
      </c>
      <c r="K40" s="2">
        <v>132</v>
      </c>
      <c r="L40" s="2">
        <v>1045</v>
      </c>
      <c r="M40" s="2">
        <v>2213</v>
      </c>
      <c r="N40" s="2">
        <v>58</v>
      </c>
      <c r="O40" s="2">
        <v>69</v>
      </c>
      <c r="P40" s="2">
        <v>50</v>
      </c>
      <c r="Q40" s="2">
        <v>34</v>
      </c>
      <c r="R40" s="2">
        <v>42</v>
      </c>
      <c r="S40" s="2">
        <v>32</v>
      </c>
      <c r="T40" s="2">
        <v>3</v>
      </c>
      <c r="U40" s="2">
        <v>12</v>
      </c>
      <c r="V40" s="2">
        <v>18</v>
      </c>
      <c r="W40" s="2">
        <v>1</v>
      </c>
      <c r="X40" s="2">
        <v>2</v>
      </c>
      <c r="Y40" s="2">
        <v>1</v>
      </c>
    </row>
    <row r="41" spans="2:25" ht="10.5" customHeight="1">
      <c r="B41" s="5" t="s">
        <v>32</v>
      </c>
      <c r="C41" s="2">
        <v>149</v>
      </c>
      <c r="D41" s="2">
        <v>224</v>
      </c>
      <c r="E41" s="2">
        <v>277</v>
      </c>
      <c r="F41" s="2">
        <v>146</v>
      </c>
      <c r="G41" s="2">
        <v>109</v>
      </c>
      <c r="H41" s="2">
        <v>156</v>
      </c>
      <c r="I41" s="2">
        <v>7681</v>
      </c>
      <c r="J41" s="2">
        <v>215</v>
      </c>
      <c r="K41" s="2">
        <v>203</v>
      </c>
      <c r="L41" s="2">
        <v>3637</v>
      </c>
      <c r="M41" s="2">
        <v>8827</v>
      </c>
      <c r="N41" s="2">
        <v>139</v>
      </c>
      <c r="O41" s="2">
        <v>326</v>
      </c>
      <c r="P41" s="2">
        <v>144</v>
      </c>
      <c r="Q41" s="2">
        <v>149</v>
      </c>
      <c r="R41" s="2">
        <v>107</v>
      </c>
      <c r="S41" s="2">
        <v>79</v>
      </c>
      <c r="T41" s="2">
        <v>44</v>
      </c>
      <c r="U41" s="2">
        <v>165</v>
      </c>
      <c r="V41" s="2">
        <v>105</v>
      </c>
      <c r="W41" s="2">
        <v>4</v>
      </c>
      <c r="X41" s="2">
        <v>6</v>
      </c>
      <c r="Y41" s="2">
        <v>6</v>
      </c>
    </row>
    <row r="42" spans="2:25" ht="10.5" customHeight="1">
      <c r="B42" s="5" t="s">
        <v>33</v>
      </c>
      <c r="C42" s="2">
        <v>175</v>
      </c>
      <c r="D42" s="2">
        <v>415</v>
      </c>
      <c r="E42" s="2">
        <v>497</v>
      </c>
      <c r="F42" s="2">
        <v>126</v>
      </c>
      <c r="G42" s="2">
        <v>141</v>
      </c>
      <c r="H42" s="2">
        <v>260</v>
      </c>
      <c r="I42" s="2">
        <v>8945</v>
      </c>
      <c r="J42" s="2">
        <v>382</v>
      </c>
      <c r="K42" s="2">
        <v>287</v>
      </c>
      <c r="L42" s="2">
        <v>6631</v>
      </c>
      <c r="M42" s="2">
        <v>14402</v>
      </c>
      <c r="N42" s="2">
        <v>194</v>
      </c>
      <c r="O42" s="2">
        <v>0</v>
      </c>
      <c r="P42" s="2">
        <v>221</v>
      </c>
      <c r="Q42" s="2">
        <v>165</v>
      </c>
      <c r="R42" s="2">
        <v>69</v>
      </c>
      <c r="S42" s="2">
        <v>65</v>
      </c>
      <c r="T42" s="2">
        <v>18</v>
      </c>
      <c r="U42" s="2">
        <v>59</v>
      </c>
      <c r="V42" s="2">
        <v>88</v>
      </c>
      <c r="W42" s="2">
        <v>3</v>
      </c>
      <c r="X42" s="2">
        <v>3</v>
      </c>
      <c r="Y42" s="2">
        <v>6</v>
      </c>
    </row>
    <row r="43" spans="2:25" ht="10.5" customHeight="1">
      <c r="B43" s="5" t="s">
        <v>52</v>
      </c>
      <c r="C43" s="2">
        <v>406</v>
      </c>
      <c r="D43" s="2">
        <v>581</v>
      </c>
      <c r="E43" s="2">
        <v>643</v>
      </c>
      <c r="F43" s="2">
        <v>194</v>
      </c>
      <c r="G43" s="2">
        <v>369</v>
      </c>
      <c r="H43" s="2">
        <v>409</v>
      </c>
      <c r="I43" s="2">
        <v>9517</v>
      </c>
      <c r="J43" s="2">
        <v>484</v>
      </c>
      <c r="K43" s="2">
        <v>654</v>
      </c>
      <c r="L43" s="2">
        <v>7075</v>
      </c>
      <c r="M43" s="2">
        <v>15372</v>
      </c>
      <c r="N43" s="2">
        <v>362</v>
      </c>
      <c r="O43" s="2">
        <v>914</v>
      </c>
      <c r="P43" s="2">
        <v>459</v>
      </c>
      <c r="Q43" s="2">
        <v>265</v>
      </c>
      <c r="R43" s="2">
        <v>243</v>
      </c>
      <c r="S43" s="2">
        <v>177</v>
      </c>
      <c r="T43" s="2">
        <v>19</v>
      </c>
      <c r="U43" s="2">
        <v>82</v>
      </c>
      <c r="V43" s="2">
        <v>149</v>
      </c>
      <c r="W43" s="2">
        <v>2</v>
      </c>
      <c r="X43" s="2">
        <v>8</v>
      </c>
      <c r="Y43" s="2">
        <v>15</v>
      </c>
    </row>
    <row r="44" spans="2:25" ht="10.5" customHeight="1">
      <c r="B44" s="5" t="s">
        <v>53</v>
      </c>
      <c r="C44" s="2">
        <v>129</v>
      </c>
      <c r="D44" s="2">
        <v>229</v>
      </c>
      <c r="E44" s="2">
        <v>240</v>
      </c>
      <c r="F44" s="2">
        <v>74</v>
      </c>
      <c r="G44" s="2">
        <v>103</v>
      </c>
      <c r="H44" s="2">
        <v>143</v>
      </c>
      <c r="I44" s="2">
        <v>3487</v>
      </c>
      <c r="J44" s="2">
        <v>189</v>
      </c>
      <c r="K44" s="2">
        <v>305</v>
      </c>
      <c r="L44" s="2">
        <v>1167</v>
      </c>
      <c r="M44" s="2">
        <v>4388</v>
      </c>
      <c r="N44" s="2">
        <v>132</v>
      </c>
      <c r="O44" s="2">
        <v>200</v>
      </c>
      <c r="P44" s="2">
        <v>86</v>
      </c>
      <c r="Q44" s="2">
        <v>93</v>
      </c>
      <c r="R44" s="2">
        <v>119</v>
      </c>
      <c r="S44" s="2">
        <v>51</v>
      </c>
      <c r="T44" s="2">
        <v>12</v>
      </c>
      <c r="U44" s="2">
        <v>30</v>
      </c>
      <c r="V44" s="2">
        <v>64</v>
      </c>
      <c r="W44" s="2">
        <v>2</v>
      </c>
      <c r="X44" s="2">
        <v>6</v>
      </c>
      <c r="Y44" s="2">
        <v>2</v>
      </c>
    </row>
    <row r="45" spans="2:25" ht="10.5" customHeight="1">
      <c r="B45" s="5" t="s">
        <v>54</v>
      </c>
      <c r="C45" s="2">
        <v>211</v>
      </c>
      <c r="D45" s="2">
        <v>295</v>
      </c>
      <c r="E45" s="2">
        <v>301</v>
      </c>
      <c r="F45" s="2">
        <v>94</v>
      </c>
      <c r="G45" s="2">
        <v>116</v>
      </c>
      <c r="H45" s="2">
        <v>196</v>
      </c>
      <c r="I45" s="2">
        <v>3637</v>
      </c>
      <c r="J45" s="2">
        <v>163</v>
      </c>
      <c r="K45" s="2">
        <v>271</v>
      </c>
      <c r="L45" s="2">
        <v>2860</v>
      </c>
      <c r="M45" s="2">
        <v>6254</v>
      </c>
      <c r="N45" s="2">
        <v>123</v>
      </c>
      <c r="O45" s="2">
        <v>184</v>
      </c>
      <c r="P45" s="2">
        <v>257</v>
      </c>
      <c r="Q45" s="2">
        <v>100</v>
      </c>
      <c r="R45" s="2">
        <v>97</v>
      </c>
      <c r="S45" s="2">
        <v>73</v>
      </c>
      <c r="T45" s="2">
        <v>10</v>
      </c>
      <c r="U45" s="2">
        <v>11</v>
      </c>
      <c r="V45" s="2">
        <v>46</v>
      </c>
      <c r="W45" s="2">
        <v>2</v>
      </c>
      <c r="X45" s="2">
        <v>5</v>
      </c>
      <c r="Y45" s="2">
        <v>6</v>
      </c>
    </row>
    <row r="46" spans="2:25" ht="10.5" customHeight="1">
      <c r="B46" s="5" t="s">
        <v>55</v>
      </c>
      <c r="C46" s="2">
        <v>187</v>
      </c>
      <c r="D46" s="2">
        <v>298</v>
      </c>
      <c r="E46" s="2">
        <v>287</v>
      </c>
      <c r="F46" s="2">
        <v>95</v>
      </c>
      <c r="G46" s="2">
        <v>111</v>
      </c>
      <c r="H46" s="2">
        <v>185</v>
      </c>
      <c r="I46" s="2">
        <v>3324</v>
      </c>
      <c r="J46" s="2">
        <v>158</v>
      </c>
      <c r="K46" s="2">
        <v>315</v>
      </c>
      <c r="L46" s="2">
        <v>2296</v>
      </c>
      <c r="M46" s="2">
        <v>4743</v>
      </c>
      <c r="N46" s="2">
        <v>119</v>
      </c>
      <c r="O46" s="2">
        <v>186</v>
      </c>
      <c r="P46" s="2">
        <v>308</v>
      </c>
      <c r="Q46" s="2">
        <v>87</v>
      </c>
      <c r="R46" s="2">
        <v>178</v>
      </c>
      <c r="S46" s="2">
        <v>132</v>
      </c>
      <c r="T46" s="2">
        <v>8</v>
      </c>
      <c r="U46" s="2">
        <v>23</v>
      </c>
      <c r="V46" s="2">
        <v>68</v>
      </c>
      <c r="W46" s="2">
        <v>3</v>
      </c>
      <c r="X46" s="2">
        <v>6</v>
      </c>
      <c r="Y46" s="2">
        <v>2</v>
      </c>
    </row>
    <row r="47" spans="2:25" ht="10.5" customHeight="1">
      <c r="B47" s="5" t="s">
        <v>56</v>
      </c>
      <c r="C47" s="2">
        <v>59</v>
      </c>
      <c r="D47" s="2">
        <v>59</v>
      </c>
      <c r="E47" s="2">
        <v>74</v>
      </c>
      <c r="F47" s="2">
        <v>26</v>
      </c>
      <c r="G47" s="2">
        <v>44</v>
      </c>
      <c r="H47" s="2">
        <v>43</v>
      </c>
      <c r="I47" s="2">
        <v>1282</v>
      </c>
      <c r="J47" s="2">
        <v>71</v>
      </c>
      <c r="K47" s="2">
        <v>47</v>
      </c>
      <c r="L47" s="2">
        <v>476</v>
      </c>
      <c r="M47" s="2">
        <v>1123</v>
      </c>
      <c r="N47" s="2">
        <v>45</v>
      </c>
      <c r="O47" s="2">
        <v>66</v>
      </c>
      <c r="P47" s="2">
        <v>33</v>
      </c>
      <c r="Q47" s="2">
        <v>13</v>
      </c>
      <c r="R47" s="2">
        <v>44</v>
      </c>
      <c r="S47" s="2">
        <v>26</v>
      </c>
      <c r="T47" s="2">
        <v>11</v>
      </c>
      <c r="U47" s="2">
        <v>31</v>
      </c>
      <c r="V47" s="2">
        <v>34</v>
      </c>
      <c r="W47" s="2">
        <v>0</v>
      </c>
      <c r="X47" s="2">
        <v>1</v>
      </c>
      <c r="Y47" s="2">
        <v>2</v>
      </c>
    </row>
    <row r="48" spans="2:25" ht="10.5" customHeight="1">
      <c r="B48" s="5" t="s">
        <v>57</v>
      </c>
      <c r="C48" s="2">
        <v>123</v>
      </c>
      <c r="D48" s="2">
        <v>176</v>
      </c>
      <c r="E48" s="2">
        <v>214</v>
      </c>
      <c r="F48" s="2">
        <v>124</v>
      </c>
      <c r="G48" s="2">
        <v>76</v>
      </c>
      <c r="H48" s="2">
        <v>114</v>
      </c>
      <c r="I48" s="2">
        <v>2492</v>
      </c>
      <c r="J48" s="2">
        <v>96</v>
      </c>
      <c r="K48" s="2">
        <v>118</v>
      </c>
      <c r="L48" s="2">
        <v>1595</v>
      </c>
      <c r="M48" s="2">
        <v>3392</v>
      </c>
      <c r="N48" s="2">
        <v>48</v>
      </c>
      <c r="O48" s="2">
        <v>93</v>
      </c>
      <c r="P48" s="2">
        <v>123</v>
      </c>
      <c r="Q48" s="2">
        <v>94</v>
      </c>
      <c r="R48" s="2">
        <v>112</v>
      </c>
      <c r="S48" s="2">
        <v>74</v>
      </c>
      <c r="T48" s="2">
        <v>6</v>
      </c>
      <c r="U48" s="2">
        <v>24</v>
      </c>
      <c r="V48" s="2">
        <v>45</v>
      </c>
      <c r="W48" s="2">
        <v>0</v>
      </c>
      <c r="X48" s="2">
        <v>4</v>
      </c>
      <c r="Y48" s="2">
        <v>2</v>
      </c>
    </row>
    <row r="49" spans="1:25" ht="10.5" customHeight="1">
      <c r="A49" s="3" t="s">
        <v>123</v>
      </c>
      <c r="C49" s="2">
        <v>2068</v>
      </c>
      <c r="D49" s="2">
        <v>3355</v>
      </c>
      <c r="E49" s="2">
        <v>3619</v>
      </c>
      <c r="F49" s="2">
        <v>1361</v>
      </c>
      <c r="G49" s="2">
        <v>1496</v>
      </c>
      <c r="H49" s="2">
        <v>2124</v>
      </c>
      <c r="I49" s="2">
        <v>59369</v>
      </c>
      <c r="J49" s="2">
        <v>2445</v>
      </c>
      <c r="K49" s="2">
        <v>3062</v>
      </c>
      <c r="L49" s="2">
        <v>35996</v>
      </c>
      <c r="M49" s="2">
        <v>79651</v>
      </c>
      <c r="N49" s="2">
        <v>1640</v>
      </c>
      <c r="O49" s="2">
        <v>3022</v>
      </c>
      <c r="P49" s="2">
        <v>2037</v>
      </c>
      <c r="Q49" s="2">
        <v>1405</v>
      </c>
      <c r="R49" s="2">
        <v>1401</v>
      </c>
      <c r="S49" s="2">
        <v>929</v>
      </c>
      <c r="T49" s="2">
        <v>183</v>
      </c>
      <c r="U49" s="2">
        <v>719</v>
      </c>
      <c r="V49" s="2">
        <v>825</v>
      </c>
      <c r="W49" s="2">
        <v>22</v>
      </c>
      <c r="X49" s="2">
        <v>69</v>
      </c>
      <c r="Y49" s="2">
        <v>65</v>
      </c>
    </row>
    <row r="50" spans="2:25" s="4" customFormat="1" ht="10.5" customHeight="1">
      <c r="B50" s="6" t="s">
        <v>128</v>
      </c>
      <c r="C50" s="4">
        <f aca="true" t="shared" si="5" ref="C50:I50">C49/73392</f>
        <v>0.02817745803357314</v>
      </c>
      <c r="D50" s="4">
        <f t="shared" si="5"/>
        <v>0.045713429256594725</v>
      </c>
      <c r="E50" s="4">
        <f t="shared" si="5"/>
        <v>0.049310551558752996</v>
      </c>
      <c r="F50" s="4">
        <f t="shared" si="5"/>
        <v>0.01854425550468716</v>
      </c>
      <c r="G50" s="4">
        <f t="shared" si="5"/>
        <v>0.02038369304556355</v>
      </c>
      <c r="H50" s="4">
        <f t="shared" si="5"/>
        <v>0.0289404839764552</v>
      </c>
      <c r="I50" s="4">
        <f t="shared" si="5"/>
        <v>0.8089301286243732</v>
      </c>
      <c r="J50" s="4">
        <f>J49/129258</f>
        <v>0.01891565705797707</v>
      </c>
      <c r="K50" s="4">
        <f>K49/129258</f>
        <v>0.023689055996534064</v>
      </c>
      <c r="L50" s="4">
        <f>L49/129258</f>
        <v>0.27848179609772705</v>
      </c>
      <c r="M50" s="4">
        <f>M49/129258</f>
        <v>0.6162171780470067</v>
      </c>
      <c r="N50" s="4">
        <f>N49/129258</f>
        <v>0.012687802689195253</v>
      </c>
      <c r="O50" s="4">
        <f>O49/106976</f>
        <v>0.028249326951839664</v>
      </c>
      <c r="P50" s="4">
        <f>P49/129258</f>
        <v>0.01575917931578703</v>
      </c>
      <c r="Q50" s="4">
        <f>Q49/129258</f>
        <v>0.010869733401414226</v>
      </c>
      <c r="R50" s="4">
        <f>R49/2330</f>
        <v>0.6012875536480686</v>
      </c>
      <c r="S50" s="4">
        <f>S49/2330</f>
        <v>0.3987124463519313</v>
      </c>
      <c r="T50" s="4">
        <f>T49/902</f>
        <v>0.20288248337028825</v>
      </c>
      <c r="U50" s="4">
        <f>U49/902</f>
        <v>0.7971175166297118</v>
      </c>
      <c r="V50" s="4">
        <f>V49/825</f>
        <v>1</v>
      </c>
      <c r="W50" s="4">
        <f>W49/156</f>
        <v>0.14102564102564102</v>
      </c>
      <c r="X50" s="4">
        <f>X49/156</f>
        <v>0.4423076923076923</v>
      </c>
      <c r="Y50" s="4">
        <f>Y49/156</f>
        <v>0.4166666666666667</v>
      </c>
    </row>
    <row r="51" spans="2:25" ht="10.5" customHeight="1">
      <c r="B51" s="7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0.5" customHeight="1">
      <c r="A52" s="3" t="s">
        <v>61</v>
      </c>
      <c r="B52" s="7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2:25" ht="10.5" customHeight="1">
      <c r="B53" s="5" t="s">
        <v>35</v>
      </c>
      <c r="C53" s="2">
        <v>84</v>
      </c>
      <c r="D53" s="2">
        <v>113</v>
      </c>
      <c r="E53" s="2">
        <v>137</v>
      </c>
      <c r="F53" s="2">
        <v>67</v>
      </c>
      <c r="G53" s="2">
        <v>51</v>
      </c>
      <c r="H53" s="2">
        <v>60</v>
      </c>
      <c r="I53" s="2">
        <v>4314</v>
      </c>
      <c r="J53" s="2">
        <v>38</v>
      </c>
      <c r="K53" s="2">
        <v>70</v>
      </c>
      <c r="L53" s="2">
        <v>1287</v>
      </c>
      <c r="M53" s="2">
        <v>2387</v>
      </c>
      <c r="N53" s="2">
        <v>41</v>
      </c>
      <c r="O53" s="2">
        <v>64</v>
      </c>
      <c r="P53" s="2">
        <v>59</v>
      </c>
      <c r="Q53" s="2">
        <v>48</v>
      </c>
      <c r="R53" s="2">
        <v>49</v>
      </c>
      <c r="S53" s="2">
        <v>37</v>
      </c>
      <c r="T53" s="2">
        <v>2</v>
      </c>
      <c r="U53" s="2">
        <v>20</v>
      </c>
      <c r="V53" s="2">
        <v>18</v>
      </c>
      <c r="W53" s="2">
        <v>1</v>
      </c>
      <c r="X53" s="2">
        <v>1</v>
      </c>
      <c r="Y53" s="2">
        <v>3</v>
      </c>
    </row>
    <row r="54" spans="2:25" ht="10.5" customHeight="1">
      <c r="B54" s="5" t="s">
        <v>59</v>
      </c>
      <c r="C54" s="2">
        <v>607</v>
      </c>
      <c r="D54" s="2">
        <v>1318</v>
      </c>
      <c r="E54" s="2">
        <v>1595</v>
      </c>
      <c r="F54" s="2">
        <v>503</v>
      </c>
      <c r="G54" s="2">
        <v>386</v>
      </c>
      <c r="H54" s="2">
        <v>577</v>
      </c>
      <c r="I54" s="2">
        <v>21090</v>
      </c>
      <c r="J54" s="2">
        <v>398</v>
      </c>
      <c r="K54" s="2">
        <v>631</v>
      </c>
      <c r="L54" s="2">
        <v>6624</v>
      </c>
      <c r="M54" s="2">
        <v>14028</v>
      </c>
      <c r="N54" s="2">
        <v>350</v>
      </c>
      <c r="O54" s="2">
        <v>642</v>
      </c>
      <c r="P54" s="2">
        <v>402</v>
      </c>
      <c r="Q54" s="2">
        <v>286</v>
      </c>
      <c r="R54" s="2">
        <v>300</v>
      </c>
      <c r="S54" s="2">
        <v>224</v>
      </c>
      <c r="T54" s="2">
        <v>23</v>
      </c>
      <c r="U54" s="2">
        <v>71</v>
      </c>
      <c r="V54" s="2">
        <v>118</v>
      </c>
      <c r="W54" s="2">
        <v>9</v>
      </c>
      <c r="X54" s="2">
        <v>12</v>
      </c>
      <c r="Y54" s="2">
        <v>13</v>
      </c>
    </row>
    <row r="55" spans="2:25" ht="10.5" customHeight="1">
      <c r="B55" s="5" t="s">
        <v>42</v>
      </c>
      <c r="C55" s="2">
        <v>405</v>
      </c>
      <c r="D55" s="2">
        <v>485</v>
      </c>
      <c r="E55" s="2">
        <v>711</v>
      </c>
      <c r="F55" s="2">
        <v>146</v>
      </c>
      <c r="G55" s="2">
        <v>284</v>
      </c>
      <c r="H55" s="2">
        <v>352</v>
      </c>
      <c r="I55" s="2">
        <v>14359</v>
      </c>
      <c r="J55" s="2">
        <v>242</v>
      </c>
      <c r="K55" s="2">
        <v>290</v>
      </c>
      <c r="L55" s="2">
        <v>3989</v>
      </c>
      <c r="M55" s="2">
        <v>9709</v>
      </c>
      <c r="N55" s="2">
        <v>284</v>
      </c>
      <c r="O55" s="2">
        <v>381</v>
      </c>
      <c r="P55" s="2">
        <v>238</v>
      </c>
      <c r="Q55" s="2">
        <v>130</v>
      </c>
      <c r="R55" s="2">
        <v>213</v>
      </c>
      <c r="S55" s="2">
        <v>146</v>
      </c>
      <c r="T55" s="2">
        <v>8</v>
      </c>
      <c r="U55" s="2">
        <v>50</v>
      </c>
      <c r="V55" s="2">
        <v>119</v>
      </c>
      <c r="W55" s="2">
        <v>5</v>
      </c>
      <c r="X55" s="2">
        <v>7</v>
      </c>
      <c r="Y55" s="2">
        <v>3</v>
      </c>
    </row>
    <row r="56" spans="2:25" ht="10.5" customHeight="1">
      <c r="B56" s="5" t="s">
        <v>60</v>
      </c>
      <c r="C56" s="2">
        <v>333</v>
      </c>
      <c r="D56" s="2">
        <v>406</v>
      </c>
      <c r="E56" s="2">
        <v>426</v>
      </c>
      <c r="F56" s="2">
        <v>151</v>
      </c>
      <c r="G56" s="2">
        <v>239</v>
      </c>
      <c r="H56" s="2">
        <v>251</v>
      </c>
      <c r="I56" s="2">
        <v>16019</v>
      </c>
      <c r="J56" s="2">
        <v>249</v>
      </c>
      <c r="K56" s="2">
        <v>224</v>
      </c>
      <c r="L56" s="2">
        <v>3462</v>
      </c>
      <c r="M56" s="2">
        <v>7359</v>
      </c>
      <c r="N56" s="2">
        <v>163</v>
      </c>
      <c r="O56" s="2">
        <v>203</v>
      </c>
      <c r="P56" s="2">
        <v>139</v>
      </c>
      <c r="Q56" s="2">
        <v>128</v>
      </c>
      <c r="R56" s="2">
        <v>116</v>
      </c>
      <c r="S56" s="2">
        <v>111</v>
      </c>
      <c r="T56" s="2">
        <v>44</v>
      </c>
      <c r="U56" s="2">
        <v>199</v>
      </c>
      <c r="V56" s="2">
        <v>107</v>
      </c>
      <c r="W56" s="2">
        <v>5</v>
      </c>
      <c r="X56" s="2">
        <v>12</v>
      </c>
      <c r="Y56" s="2">
        <v>9</v>
      </c>
    </row>
    <row r="57" spans="1:25" ht="10.5" customHeight="1">
      <c r="A57" s="3" t="s">
        <v>123</v>
      </c>
      <c r="C57" s="2">
        <v>1429</v>
      </c>
      <c r="D57" s="2">
        <v>2322</v>
      </c>
      <c r="E57" s="2">
        <v>2869</v>
      </c>
      <c r="F57" s="2">
        <v>867</v>
      </c>
      <c r="G57" s="2">
        <v>960</v>
      </c>
      <c r="H57" s="2">
        <v>1240</v>
      </c>
      <c r="I57" s="2">
        <v>55782</v>
      </c>
      <c r="J57" s="2">
        <v>927</v>
      </c>
      <c r="K57" s="2">
        <v>1215</v>
      </c>
      <c r="L57" s="2">
        <v>15362</v>
      </c>
      <c r="M57" s="2">
        <v>33483</v>
      </c>
      <c r="N57" s="2">
        <v>838</v>
      </c>
      <c r="O57" s="2">
        <v>1290</v>
      </c>
      <c r="P57" s="2">
        <v>838</v>
      </c>
      <c r="Q57" s="2">
        <v>592</v>
      </c>
      <c r="R57" s="2">
        <v>678</v>
      </c>
      <c r="S57" s="2">
        <v>518</v>
      </c>
      <c r="T57" s="2">
        <v>77</v>
      </c>
      <c r="U57" s="2">
        <v>340</v>
      </c>
      <c r="V57" s="2">
        <v>362</v>
      </c>
      <c r="W57" s="2">
        <v>20</v>
      </c>
      <c r="X57" s="2">
        <v>32</v>
      </c>
      <c r="Y57" s="2">
        <v>28</v>
      </c>
    </row>
    <row r="58" spans="2:25" s="4" customFormat="1" ht="10.5" customHeight="1">
      <c r="B58" s="6" t="s">
        <v>128</v>
      </c>
      <c r="C58" s="4">
        <f aca="true" t="shared" si="6" ref="C58:I58">C57/65469</f>
        <v>0.02182712428783088</v>
      </c>
      <c r="D58" s="4">
        <f t="shared" si="6"/>
        <v>0.03546716766714017</v>
      </c>
      <c r="E58" s="4">
        <f t="shared" si="6"/>
        <v>0.04382226702714262</v>
      </c>
      <c r="F58" s="4">
        <f t="shared" si="6"/>
        <v>0.013242908857627274</v>
      </c>
      <c r="G58" s="4">
        <f t="shared" si="6"/>
        <v>0.01466342849287449</v>
      </c>
      <c r="H58" s="4">
        <f t="shared" si="6"/>
        <v>0.018940261803296218</v>
      </c>
      <c r="I58" s="4">
        <f t="shared" si="6"/>
        <v>0.8520368418640883</v>
      </c>
      <c r="J58" s="4">
        <f aca="true" t="shared" si="7" ref="J58:Q58">J57/54545</f>
        <v>0.016995141626180217</v>
      </c>
      <c r="K58" s="4">
        <f t="shared" si="7"/>
        <v>0.022275185626546887</v>
      </c>
      <c r="L58" s="4">
        <f t="shared" si="7"/>
        <v>0.2816390136584472</v>
      </c>
      <c r="M58" s="4">
        <f t="shared" si="7"/>
        <v>0.6138601155009625</v>
      </c>
      <c r="N58" s="4">
        <f t="shared" si="7"/>
        <v>0.015363461362178019</v>
      </c>
      <c r="O58" s="4">
        <f t="shared" si="7"/>
        <v>0.02365019708497571</v>
      </c>
      <c r="P58" s="4">
        <f t="shared" si="7"/>
        <v>0.015363461362178019</v>
      </c>
      <c r="Q58" s="4">
        <f t="shared" si="7"/>
        <v>0.010853423778531488</v>
      </c>
      <c r="R58" s="4">
        <f>R57/1196</f>
        <v>0.5668896321070234</v>
      </c>
      <c r="S58" s="4">
        <f>S57/1196</f>
        <v>0.4331103678929766</v>
      </c>
      <c r="T58" s="4">
        <f>T57/417</f>
        <v>0.18465227817745802</v>
      </c>
      <c r="U58" s="4">
        <f>U57/417</f>
        <v>0.815347721822542</v>
      </c>
      <c r="V58" s="4">
        <f>V57/362</f>
        <v>1</v>
      </c>
      <c r="W58" s="4">
        <f>W57/80</f>
        <v>0.25</v>
      </c>
      <c r="X58" s="4">
        <f>X57/80</f>
        <v>0.4</v>
      </c>
      <c r="Y58" s="4">
        <f>Y57/80</f>
        <v>0.35</v>
      </c>
    </row>
    <row r="59" spans="2:25" ht="10.5" customHeight="1"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0.5" customHeight="1">
      <c r="A60" s="3" t="s">
        <v>62</v>
      </c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2:25" ht="10.5" customHeight="1">
      <c r="B61" s="5" t="s">
        <v>35</v>
      </c>
      <c r="C61" s="2">
        <v>1528</v>
      </c>
      <c r="D61" s="2">
        <v>2055</v>
      </c>
      <c r="E61" s="2">
        <v>2619</v>
      </c>
      <c r="F61" s="2">
        <v>1065</v>
      </c>
      <c r="G61" s="2">
        <v>1063</v>
      </c>
      <c r="H61" s="2">
        <v>1327</v>
      </c>
      <c r="I61" s="2">
        <v>64718</v>
      </c>
      <c r="J61" s="2">
        <v>1010</v>
      </c>
      <c r="K61" s="2">
        <v>887</v>
      </c>
      <c r="L61" s="2">
        <v>16262</v>
      </c>
      <c r="M61" s="2">
        <v>27637</v>
      </c>
      <c r="N61" s="2">
        <v>651</v>
      </c>
      <c r="O61" s="2">
        <v>1128</v>
      </c>
      <c r="P61" s="2">
        <v>873</v>
      </c>
      <c r="Q61" s="2">
        <v>651</v>
      </c>
      <c r="R61" s="2">
        <v>772</v>
      </c>
      <c r="S61" s="2">
        <v>564</v>
      </c>
      <c r="T61" s="2">
        <v>105</v>
      </c>
      <c r="U61" s="2">
        <v>621</v>
      </c>
      <c r="V61" s="2">
        <v>444</v>
      </c>
      <c r="W61" s="2">
        <v>31</v>
      </c>
      <c r="X61" s="2">
        <v>91</v>
      </c>
      <c r="Y61" s="2">
        <v>101</v>
      </c>
    </row>
    <row r="62" spans="1:25" ht="10.5" customHeight="1">
      <c r="A62" s="3" t="s">
        <v>123</v>
      </c>
      <c r="C62" s="2">
        <v>1528</v>
      </c>
      <c r="D62" s="2">
        <v>2055</v>
      </c>
      <c r="E62" s="2">
        <v>2619</v>
      </c>
      <c r="F62" s="2">
        <v>1065</v>
      </c>
      <c r="G62" s="2">
        <v>1063</v>
      </c>
      <c r="H62" s="2">
        <v>1327</v>
      </c>
      <c r="I62" s="2">
        <v>64718</v>
      </c>
      <c r="J62" s="2">
        <v>1010</v>
      </c>
      <c r="K62" s="2">
        <v>887</v>
      </c>
      <c r="L62" s="2">
        <v>16262</v>
      </c>
      <c r="M62" s="2">
        <v>27637</v>
      </c>
      <c r="N62" s="2">
        <v>651</v>
      </c>
      <c r="O62" s="2">
        <v>1128</v>
      </c>
      <c r="P62" s="2">
        <v>873</v>
      </c>
      <c r="Q62" s="2">
        <v>651</v>
      </c>
      <c r="R62" s="2">
        <v>772</v>
      </c>
      <c r="S62" s="2">
        <v>564</v>
      </c>
      <c r="T62" s="2">
        <v>105</v>
      </c>
      <c r="U62" s="2">
        <v>621</v>
      </c>
      <c r="V62" s="2">
        <v>444</v>
      </c>
      <c r="W62" s="2">
        <v>31</v>
      </c>
      <c r="X62" s="2">
        <v>91</v>
      </c>
      <c r="Y62" s="2">
        <v>101</v>
      </c>
    </row>
    <row r="63" spans="2:25" s="4" customFormat="1" ht="10.5" customHeight="1">
      <c r="B63" s="6" t="s">
        <v>128</v>
      </c>
      <c r="C63" s="4">
        <f aca="true" t="shared" si="8" ref="C63:I63">C62/74375</f>
        <v>0.02054453781512605</v>
      </c>
      <c r="D63" s="4">
        <f t="shared" si="8"/>
        <v>0.027630252100840337</v>
      </c>
      <c r="E63" s="4">
        <f t="shared" si="8"/>
        <v>0.03521344537815126</v>
      </c>
      <c r="F63" s="4">
        <f t="shared" si="8"/>
        <v>0.014319327731092436</v>
      </c>
      <c r="G63" s="4">
        <f t="shared" si="8"/>
        <v>0.014292436974789916</v>
      </c>
      <c r="H63" s="4">
        <f t="shared" si="8"/>
        <v>0.017842016806722687</v>
      </c>
      <c r="I63" s="4">
        <f t="shared" si="8"/>
        <v>0.8701579831932773</v>
      </c>
      <c r="J63" s="4">
        <f aca="true" t="shared" si="9" ref="J63:Q63">J62/49099</f>
        <v>0.020570683720646042</v>
      </c>
      <c r="K63" s="4">
        <f t="shared" si="9"/>
        <v>0.01806554104971588</v>
      </c>
      <c r="L63" s="4">
        <f t="shared" si="9"/>
        <v>0.3312083749159861</v>
      </c>
      <c r="M63" s="4">
        <f t="shared" si="9"/>
        <v>0.562883154443064</v>
      </c>
      <c r="N63" s="4">
        <f t="shared" si="9"/>
        <v>0.013258925843703537</v>
      </c>
      <c r="O63" s="4">
        <f t="shared" si="9"/>
        <v>0.022973991323652212</v>
      </c>
      <c r="P63" s="4">
        <f t="shared" si="9"/>
        <v>0.017780402859528706</v>
      </c>
      <c r="Q63" s="4">
        <f t="shared" si="9"/>
        <v>0.013258925843703537</v>
      </c>
      <c r="R63" s="4">
        <f>R62/1336</f>
        <v>0.5778443113772455</v>
      </c>
      <c r="S63" s="4">
        <f>S62/1336</f>
        <v>0.4221556886227545</v>
      </c>
      <c r="T63" s="4">
        <f>T62/726</f>
        <v>0.1446280991735537</v>
      </c>
      <c r="U63" s="4">
        <f>U62/726</f>
        <v>0.8553719008264463</v>
      </c>
      <c r="V63" s="4">
        <f>V62/444</f>
        <v>1</v>
      </c>
      <c r="W63" s="4">
        <f>W62/223</f>
        <v>0.13901345291479822</v>
      </c>
      <c r="X63" s="4">
        <f>X62/223</f>
        <v>0.4080717488789238</v>
      </c>
      <c r="Y63" s="4">
        <f>Y62/223</f>
        <v>0.452914798206278</v>
      </c>
    </row>
    <row r="64" spans="2:25" ht="10.5" customHeight="1"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0.5" customHeight="1">
      <c r="A65" s="3" t="s">
        <v>64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2:25" ht="10.5" customHeight="1">
      <c r="B66" s="5" t="s">
        <v>63</v>
      </c>
      <c r="C66" s="2">
        <v>1147</v>
      </c>
      <c r="D66" s="2">
        <v>2260</v>
      </c>
      <c r="E66" s="2">
        <v>2374</v>
      </c>
      <c r="F66" s="2">
        <v>657</v>
      </c>
      <c r="G66" s="2">
        <v>1103</v>
      </c>
      <c r="H66" s="2">
        <v>1482</v>
      </c>
      <c r="I66" s="2">
        <v>87885</v>
      </c>
      <c r="J66" s="2">
        <v>1007</v>
      </c>
      <c r="K66" s="2">
        <v>768</v>
      </c>
      <c r="L66" s="2">
        <v>16165</v>
      </c>
      <c r="M66" s="2">
        <v>50943</v>
      </c>
      <c r="N66" s="2">
        <v>562</v>
      </c>
      <c r="O66" s="2">
        <v>1344</v>
      </c>
      <c r="P66" s="2">
        <v>795</v>
      </c>
      <c r="Q66" s="2">
        <v>740</v>
      </c>
      <c r="R66" s="2">
        <v>854</v>
      </c>
      <c r="S66" s="2">
        <v>579</v>
      </c>
      <c r="T66" s="2">
        <v>162</v>
      </c>
      <c r="U66" s="2">
        <v>607</v>
      </c>
      <c r="V66" s="2">
        <v>557</v>
      </c>
      <c r="W66" s="2">
        <v>11</v>
      </c>
      <c r="X66" s="2">
        <v>72</v>
      </c>
      <c r="Y66" s="2">
        <v>34</v>
      </c>
    </row>
    <row r="67" spans="1:25" ht="10.5" customHeight="1">
      <c r="A67" s="3" t="s">
        <v>123</v>
      </c>
      <c r="C67" s="2">
        <v>1147</v>
      </c>
      <c r="D67" s="2">
        <v>2260</v>
      </c>
      <c r="E67" s="2">
        <v>2374</v>
      </c>
      <c r="F67" s="2">
        <v>657</v>
      </c>
      <c r="G67" s="2">
        <v>1103</v>
      </c>
      <c r="H67" s="2">
        <v>1482</v>
      </c>
      <c r="I67" s="2">
        <v>87885</v>
      </c>
      <c r="J67" s="2">
        <v>1007</v>
      </c>
      <c r="K67" s="2">
        <v>768</v>
      </c>
      <c r="L67" s="2">
        <v>16165</v>
      </c>
      <c r="M67" s="2">
        <v>50943</v>
      </c>
      <c r="N67" s="2">
        <v>562</v>
      </c>
      <c r="O67" s="2">
        <v>1344</v>
      </c>
      <c r="P67" s="2">
        <v>795</v>
      </c>
      <c r="Q67" s="2">
        <v>740</v>
      </c>
      <c r="R67" s="2">
        <v>854</v>
      </c>
      <c r="S67" s="2">
        <v>579</v>
      </c>
      <c r="T67" s="2">
        <v>162</v>
      </c>
      <c r="U67" s="2">
        <v>607</v>
      </c>
      <c r="V67" s="2">
        <v>557</v>
      </c>
      <c r="W67" s="2">
        <v>11</v>
      </c>
      <c r="X67" s="2">
        <v>72</v>
      </c>
      <c r="Y67" s="2">
        <v>34</v>
      </c>
    </row>
    <row r="68" spans="2:25" s="4" customFormat="1" ht="10.5" customHeight="1">
      <c r="B68" s="6" t="s">
        <v>128</v>
      </c>
      <c r="C68" s="4">
        <f aca="true" t="shared" si="10" ref="C68:I68">C67/98080</f>
        <v>0.011694535073409461</v>
      </c>
      <c r="D68" s="4">
        <f t="shared" si="10"/>
        <v>0.02304241435562806</v>
      </c>
      <c r="E68" s="4">
        <f t="shared" si="10"/>
        <v>0.0242047308319739</v>
      </c>
      <c r="F68" s="4">
        <f t="shared" si="10"/>
        <v>0.006698613376835237</v>
      </c>
      <c r="G68" s="4">
        <f t="shared" si="10"/>
        <v>0.011245921696574224</v>
      </c>
      <c r="H68" s="4">
        <f t="shared" si="10"/>
        <v>0.015110114192495921</v>
      </c>
      <c r="I68" s="4">
        <f t="shared" si="10"/>
        <v>0.8960542414355628</v>
      </c>
      <c r="J68" s="4">
        <f aca="true" t="shared" si="11" ref="J68:Q68">J67/72325</f>
        <v>0.013923263048738335</v>
      </c>
      <c r="K68" s="4">
        <f t="shared" si="11"/>
        <v>0.010618734877290011</v>
      </c>
      <c r="L68" s="4">
        <f t="shared" si="11"/>
        <v>0.223505012098168</v>
      </c>
      <c r="M68" s="4">
        <f t="shared" si="11"/>
        <v>0.7043622537158659</v>
      </c>
      <c r="N68" s="4">
        <f t="shared" si="11"/>
        <v>0.007770480470100242</v>
      </c>
      <c r="O68" s="4">
        <f t="shared" si="11"/>
        <v>0.01858278603525752</v>
      </c>
      <c r="P68" s="4">
        <f t="shared" si="11"/>
        <v>0.010992049775319737</v>
      </c>
      <c r="Q68" s="4">
        <f t="shared" si="11"/>
        <v>0.010231593501555478</v>
      </c>
      <c r="R68" s="4">
        <f>R67/1433</f>
        <v>0.5959525471039777</v>
      </c>
      <c r="S68" s="4">
        <f>S67/1433</f>
        <v>0.40404745289602234</v>
      </c>
      <c r="T68" s="4">
        <f>T67/769</f>
        <v>0.2106631989596879</v>
      </c>
      <c r="U68" s="4">
        <f>U67/769</f>
        <v>0.7893368010403121</v>
      </c>
      <c r="V68" s="4">
        <f>V67/557</f>
        <v>1</v>
      </c>
      <c r="W68" s="4">
        <f>W67/117</f>
        <v>0.09401709401709402</v>
      </c>
      <c r="X68" s="4">
        <f>X67/117</f>
        <v>0.6153846153846154</v>
      </c>
      <c r="Y68" s="4">
        <f>Y67/117</f>
        <v>0.2905982905982906</v>
      </c>
    </row>
    <row r="69" spans="2:25" ht="10.5" customHeight="1">
      <c r="B69" s="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0.5" customHeight="1">
      <c r="A70" s="3" t="s">
        <v>66</v>
      </c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2:25" ht="10.5" customHeight="1">
      <c r="B71" s="5" t="s">
        <v>46</v>
      </c>
      <c r="C71" s="2">
        <v>379</v>
      </c>
      <c r="D71" s="2">
        <v>1009</v>
      </c>
      <c r="E71" s="2">
        <v>594</v>
      </c>
      <c r="F71" s="2">
        <v>403</v>
      </c>
      <c r="G71" s="2">
        <v>371</v>
      </c>
      <c r="H71" s="2">
        <v>563</v>
      </c>
      <c r="I71" s="2">
        <v>39432</v>
      </c>
      <c r="J71" s="2">
        <v>150</v>
      </c>
      <c r="K71" s="2">
        <v>131</v>
      </c>
      <c r="L71" s="2">
        <v>2839</v>
      </c>
      <c r="M71" s="2">
        <v>7420</v>
      </c>
      <c r="N71" s="2">
        <v>92</v>
      </c>
      <c r="O71" s="2">
        <v>203</v>
      </c>
      <c r="P71" s="2">
        <v>148</v>
      </c>
      <c r="Q71" s="2">
        <v>118</v>
      </c>
      <c r="R71" s="2">
        <v>147</v>
      </c>
      <c r="S71" s="2">
        <v>163</v>
      </c>
      <c r="T71" s="2">
        <v>149</v>
      </c>
      <c r="U71" s="2">
        <v>605</v>
      </c>
      <c r="V71" s="2">
        <v>168</v>
      </c>
      <c r="W71" s="2">
        <v>17</v>
      </c>
      <c r="X71" s="2">
        <v>48</v>
      </c>
      <c r="Y71" s="2">
        <v>33</v>
      </c>
    </row>
    <row r="72" spans="2:25" ht="10.5" customHeight="1">
      <c r="B72" s="5" t="s">
        <v>65</v>
      </c>
      <c r="C72" s="2">
        <v>500</v>
      </c>
      <c r="D72" s="2">
        <v>1350</v>
      </c>
      <c r="E72" s="2">
        <v>852</v>
      </c>
      <c r="F72" s="2">
        <v>273</v>
      </c>
      <c r="G72" s="2">
        <v>427</v>
      </c>
      <c r="H72" s="2">
        <v>681</v>
      </c>
      <c r="I72" s="2">
        <v>43245</v>
      </c>
      <c r="J72" s="2">
        <v>257</v>
      </c>
      <c r="K72" s="2">
        <v>181</v>
      </c>
      <c r="L72" s="2">
        <v>5370</v>
      </c>
      <c r="M72" s="2">
        <v>16509</v>
      </c>
      <c r="N72" s="2">
        <v>101</v>
      </c>
      <c r="O72" s="2">
        <v>440</v>
      </c>
      <c r="P72" s="2">
        <v>184</v>
      </c>
      <c r="Q72" s="2">
        <v>337</v>
      </c>
      <c r="R72" s="2">
        <v>318</v>
      </c>
      <c r="S72" s="2">
        <v>204</v>
      </c>
      <c r="T72" s="2">
        <v>96</v>
      </c>
      <c r="U72" s="2">
        <v>320</v>
      </c>
      <c r="V72" s="2">
        <v>232</v>
      </c>
      <c r="W72" s="2">
        <v>7</v>
      </c>
      <c r="X72" s="2">
        <v>24</v>
      </c>
      <c r="Y72" s="2">
        <v>12</v>
      </c>
    </row>
    <row r="73" spans="1:25" ht="10.5" customHeight="1">
      <c r="A73" s="3" t="s">
        <v>123</v>
      </c>
      <c r="C73" s="2">
        <v>879</v>
      </c>
      <c r="D73" s="2">
        <v>2359</v>
      </c>
      <c r="E73" s="2">
        <v>1446</v>
      </c>
      <c r="F73" s="2">
        <v>676</v>
      </c>
      <c r="G73" s="2">
        <v>798</v>
      </c>
      <c r="H73" s="2">
        <v>1244</v>
      </c>
      <c r="I73" s="2">
        <v>82677</v>
      </c>
      <c r="J73" s="2">
        <v>407</v>
      </c>
      <c r="K73" s="2">
        <v>312</v>
      </c>
      <c r="L73" s="2">
        <v>8209</v>
      </c>
      <c r="M73" s="2">
        <v>23929</v>
      </c>
      <c r="N73" s="2">
        <v>193</v>
      </c>
      <c r="O73" s="2">
        <v>643</v>
      </c>
      <c r="P73" s="2">
        <v>332</v>
      </c>
      <c r="Q73" s="2">
        <v>455</v>
      </c>
      <c r="R73" s="2">
        <v>465</v>
      </c>
      <c r="S73" s="2">
        <v>367</v>
      </c>
      <c r="T73" s="2">
        <v>245</v>
      </c>
      <c r="U73" s="2">
        <v>925</v>
      </c>
      <c r="V73" s="2">
        <v>400</v>
      </c>
      <c r="W73" s="2">
        <v>24</v>
      </c>
      <c r="X73" s="2">
        <v>72</v>
      </c>
      <c r="Y73" s="2">
        <v>45</v>
      </c>
    </row>
    <row r="74" spans="2:25" s="4" customFormat="1" ht="10.5" customHeight="1">
      <c r="B74" s="6" t="s">
        <v>128</v>
      </c>
      <c r="C74" s="4">
        <f aca="true" t="shared" si="12" ref="C74:I74">C73/90079</f>
        <v>0.00975810122226046</v>
      </c>
      <c r="D74" s="4">
        <f t="shared" si="12"/>
        <v>0.026188123758034615</v>
      </c>
      <c r="E74" s="4">
        <f t="shared" si="12"/>
        <v>0.016052576072114477</v>
      </c>
      <c r="F74" s="4">
        <f t="shared" si="12"/>
        <v>0.007504523806880627</v>
      </c>
      <c r="G74" s="4">
        <f t="shared" si="12"/>
        <v>0.008858890529424172</v>
      </c>
      <c r="H74" s="4">
        <f t="shared" si="12"/>
        <v>0.01381010002331287</v>
      </c>
      <c r="I74" s="4">
        <f t="shared" si="12"/>
        <v>0.9178276845879728</v>
      </c>
      <c r="J74" s="4">
        <f aca="true" t="shared" si="13" ref="J74:Q74">J73/34480</f>
        <v>0.011803944315545243</v>
      </c>
      <c r="K74" s="4">
        <f t="shared" si="13"/>
        <v>0.009048723897911833</v>
      </c>
      <c r="L74" s="4">
        <f t="shared" si="13"/>
        <v>0.2380800464037123</v>
      </c>
      <c r="M74" s="4">
        <f t="shared" si="13"/>
        <v>0.6939965197215777</v>
      </c>
      <c r="N74" s="4">
        <f t="shared" si="13"/>
        <v>0.005597447795823666</v>
      </c>
      <c r="O74" s="4">
        <f t="shared" si="13"/>
        <v>0.01864849187935035</v>
      </c>
      <c r="P74" s="4">
        <f t="shared" si="13"/>
        <v>0.00962877030162413</v>
      </c>
      <c r="Q74" s="4">
        <f t="shared" si="13"/>
        <v>0.013196055684454757</v>
      </c>
      <c r="R74" s="4">
        <f>R73/832</f>
        <v>0.5588942307692307</v>
      </c>
      <c r="S74" s="4">
        <f>S73/832</f>
        <v>0.4411057692307692</v>
      </c>
      <c r="T74" s="4">
        <f>T73/1170</f>
        <v>0.2094017094017094</v>
      </c>
      <c r="U74" s="4">
        <f>U73/1170</f>
        <v>0.7905982905982906</v>
      </c>
      <c r="V74" s="4">
        <f>V73/400</f>
        <v>1</v>
      </c>
      <c r="W74" s="4">
        <f>W73/141</f>
        <v>0.1702127659574468</v>
      </c>
      <c r="X74" s="4">
        <f>X73/141</f>
        <v>0.5106382978723404</v>
      </c>
      <c r="Y74" s="4">
        <f>Y73/141</f>
        <v>0.3191489361702128</v>
      </c>
    </row>
    <row r="75" spans="2:25" ht="10.5" customHeight="1">
      <c r="B75" s="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0.5" customHeight="1">
      <c r="A76" s="3" t="s">
        <v>68</v>
      </c>
      <c r="B76" s="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2:25" ht="10.5" customHeight="1">
      <c r="B77" s="5" t="s">
        <v>67</v>
      </c>
      <c r="C77" s="2">
        <v>1227</v>
      </c>
      <c r="D77" s="2">
        <v>1474</v>
      </c>
      <c r="E77" s="2">
        <v>1366</v>
      </c>
      <c r="F77" s="2">
        <v>897</v>
      </c>
      <c r="G77" s="2">
        <v>1288</v>
      </c>
      <c r="H77" s="2">
        <v>909</v>
      </c>
      <c r="I77" s="2">
        <v>95517</v>
      </c>
      <c r="J77" s="2">
        <v>467</v>
      </c>
      <c r="K77" s="2">
        <v>385</v>
      </c>
      <c r="L77" s="2">
        <v>6898</v>
      </c>
      <c r="M77" s="2">
        <v>17399</v>
      </c>
      <c r="N77" s="2">
        <v>284</v>
      </c>
      <c r="O77" s="2">
        <v>502</v>
      </c>
      <c r="P77" s="2">
        <v>313</v>
      </c>
      <c r="Q77" s="2">
        <v>291</v>
      </c>
      <c r="R77" s="2">
        <v>314</v>
      </c>
      <c r="S77" s="2">
        <v>279</v>
      </c>
      <c r="T77" s="2">
        <v>441</v>
      </c>
      <c r="U77" s="2">
        <v>1877</v>
      </c>
      <c r="V77" s="2">
        <v>390</v>
      </c>
      <c r="W77" s="2">
        <v>41</v>
      </c>
      <c r="X77" s="2">
        <v>126</v>
      </c>
      <c r="Y77" s="2">
        <v>73</v>
      </c>
    </row>
    <row r="78" spans="2:25" ht="10.5" customHeight="1">
      <c r="B78" s="5" t="s">
        <v>63</v>
      </c>
      <c r="C78" s="2">
        <v>96</v>
      </c>
      <c r="D78" s="2">
        <v>160</v>
      </c>
      <c r="E78" s="2">
        <v>202</v>
      </c>
      <c r="F78" s="2">
        <v>75</v>
      </c>
      <c r="G78" s="2">
        <v>103</v>
      </c>
      <c r="H78" s="2">
        <v>78</v>
      </c>
      <c r="I78" s="2">
        <v>7165</v>
      </c>
      <c r="J78" s="2">
        <v>31</v>
      </c>
      <c r="K78" s="2">
        <v>25</v>
      </c>
      <c r="L78" s="2">
        <v>253</v>
      </c>
      <c r="M78" s="2">
        <v>609</v>
      </c>
      <c r="N78" s="2">
        <v>14</v>
      </c>
      <c r="O78" s="2">
        <v>27</v>
      </c>
      <c r="P78" s="2">
        <v>25</v>
      </c>
      <c r="Q78" s="2">
        <v>16</v>
      </c>
      <c r="R78" s="2">
        <v>30</v>
      </c>
      <c r="S78" s="2">
        <v>29</v>
      </c>
      <c r="T78" s="2">
        <v>23</v>
      </c>
      <c r="U78" s="2">
        <v>68</v>
      </c>
      <c r="V78" s="2">
        <v>24</v>
      </c>
      <c r="W78" s="2">
        <v>3</v>
      </c>
      <c r="X78" s="2">
        <v>10</v>
      </c>
      <c r="Y78" s="2">
        <v>8</v>
      </c>
    </row>
    <row r="79" spans="1:25" ht="10.5" customHeight="1">
      <c r="A79" s="3" t="s">
        <v>123</v>
      </c>
      <c r="C79" s="2">
        <v>1323</v>
      </c>
      <c r="D79" s="2">
        <v>1634</v>
      </c>
      <c r="E79" s="2">
        <v>1568</v>
      </c>
      <c r="F79" s="2">
        <v>972</v>
      </c>
      <c r="G79" s="2">
        <v>1391</v>
      </c>
      <c r="H79" s="2">
        <v>987</v>
      </c>
      <c r="I79" s="2">
        <v>102682</v>
      </c>
      <c r="J79" s="2">
        <v>498</v>
      </c>
      <c r="K79" s="2">
        <v>410</v>
      </c>
      <c r="L79" s="2">
        <v>7151</v>
      </c>
      <c r="M79" s="2">
        <v>18008</v>
      </c>
      <c r="N79" s="2">
        <v>298</v>
      </c>
      <c r="O79" s="2">
        <v>529</v>
      </c>
      <c r="P79" s="2">
        <v>338</v>
      </c>
      <c r="Q79" s="2">
        <v>307</v>
      </c>
      <c r="R79" s="2">
        <v>344</v>
      </c>
      <c r="S79" s="2">
        <v>308</v>
      </c>
      <c r="T79" s="2">
        <v>464</v>
      </c>
      <c r="U79" s="2">
        <v>1945</v>
      </c>
      <c r="V79" s="2">
        <v>414</v>
      </c>
      <c r="W79" s="2">
        <v>44</v>
      </c>
      <c r="X79" s="2">
        <v>136</v>
      </c>
      <c r="Y79" s="2">
        <v>81</v>
      </c>
    </row>
    <row r="80" spans="2:25" s="4" customFormat="1" ht="10.5" customHeight="1">
      <c r="B80" s="6" t="s">
        <v>128</v>
      </c>
      <c r="C80" s="4">
        <f aca="true" t="shared" si="14" ref="C80:I80">C79/110610</f>
        <v>0.01196094385679414</v>
      </c>
      <c r="D80" s="4">
        <f t="shared" si="14"/>
        <v>0.014772624536660338</v>
      </c>
      <c r="E80" s="4">
        <f t="shared" si="14"/>
        <v>0.014175933459904169</v>
      </c>
      <c r="F80" s="4">
        <f t="shared" si="14"/>
        <v>0.008787632221318144</v>
      </c>
      <c r="G80" s="4">
        <f t="shared" si="14"/>
        <v>0.012575716481330802</v>
      </c>
      <c r="H80" s="4">
        <f t="shared" si="14"/>
        <v>0.00892324382967182</v>
      </c>
      <c r="I80" s="4">
        <f t="shared" si="14"/>
        <v>0.9283247445981376</v>
      </c>
      <c r="J80" s="4">
        <f aca="true" t="shared" si="15" ref="J80:Q80">J79/27539</f>
        <v>0.018083445295762373</v>
      </c>
      <c r="K80" s="4">
        <f t="shared" si="15"/>
        <v>0.014887977050728059</v>
      </c>
      <c r="L80" s="4">
        <f t="shared" si="15"/>
        <v>0.2596681070481862</v>
      </c>
      <c r="M80" s="4">
        <f t="shared" si="15"/>
        <v>0.6539090017792948</v>
      </c>
      <c r="N80" s="4">
        <f t="shared" si="15"/>
        <v>0.01082101746613893</v>
      </c>
      <c r="O80" s="4">
        <f t="shared" si="15"/>
        <v>0.019209121609354007</v>
      </c>
      <c r="P80" s="4">
        <f t="shared" si="15"/>
        <v>0.012273503032063619</v>
      </c>
      <c r="Q80" s="4">
        <f t="shared" si="15"/>
        <v>0.011147826718471985</v>
      </c>
      <c r="R80" s="4">
        <f>R79/652</f>
        <v>0.5276073619631901</v>
      </c>
      <c r="S80" s="4">
        <f>S79/652</f>
        <v>0.4723926380368098</v>
      </c>
      <c r="T80" s="4">
        <f>T79/2409</f>
        <v>0.19261104192611042</v>
      </c>
      <c r="U80" s="4">
        <f>U79/2409</f>
        <v>0.8073889580738896</v>
      </c>
      <c r="V80" s="4">
        <f>V79/414</f>
        <v>1</v>
      </c>
      <c r="W80" s="4">
        <f>W79/261</f>
        <v>0.1685823754789272</v>
      </c>
      <c r="X80" s="4">
        <f>X79/261</f>
        <v>0.5210727969348659</v>
      </c>
      <c r="Y80" s="4">
        <f>Y79/261</f>
        <v>0.3103448275862069</v>
      </c>
    </row>
    <row r="81" spans="2:25" ht="10.5" customHeight="1">
      <c r="B81" s="7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0.5" customHeight="1">
      <c r="A82" s="3" t="s">
        <v>70</v>
      </c>
      <c r="B82" s="7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2:25" ht="10.5" customHeight="1">
      <c r="B83" s="5" t="s">
        <v>67</v>
      </c>
      <c r="C83" s="2">
        <v>867</v>
      </c>
      <c r="D83" s="2">
        <v>1596</v>
      </c>
      <c r="E83" s="2">
        <v>1807</v>
      </c>
      <c r="F83" s="2">
        <v>565</v>
      </c>
      <c r="G83" s="2">
        <v>591</v>
      </c>
      <c r="H83" s="2">
        <v>1261</v>
      </c>
      <c r="I83" s="2">
        <v>54742</v>
      </c>
      <c r="J83" s="2">
        <v>417</v>
      </c>
      <c r="K83" s="2">
        <v>504</v>
      </c>
      <c r="L83" s="2">
        <v>6834</v>
      </c>
      <c r="M83" s="2">
        <v>20946</v>
      </c>
      <c r="N83" s="2">
        <v>279</v>
      </c>
      <c r="O83" s="2">
        <v>688</v>
      </c>
      <c r="P83" s="2">
        <v>378</v>
      </c>
      <c r="Q83" s="2">
        <v>362</v>
      </c>
      <c r="R83" s="2">
        <v>367</v>
      </c>
      <c r="S83" s="2">
        <v>360</v>
      </c>
      <c r="T83" s="2">
        <v>97</v>
      </c>
      <c r="U83" s="2">
        <v>322</v>
      </c>
      <c r="V83" s="2">
        <v>298</v>
      </c>
      <c r="W83" s="2">
        <v>9</v>
      </c>
      <c r="X83" s="2">
        <v>21</v>
      </c>
      <c r="Y83" s="2">
        <v>34</v>
      </c>
    </row>
    <row r="84" spans="2:25" ht="10.5" customHeight="1">
      <c r="B84" s="5" t="s">
        <v>69</v>
      </c>
      <c r="C84" s="2">
        <v>304</v>
      </c>
      <c r="D84" s="2">
        <v>355</v>
      </c>
      <c r="E84" s="2">
        <v>356</v>
      </c>
      <c r="F84" s="2">
        <v>224</v>
      </c>
      <c r="G84" s="2">
        <v>131</v>
      </c>
      <c r="H84" s="2">
        <v>395</v>
      </c>
      <c r="I84" s="2">
        <v>8930</v>
      </c>
      <c r="J84" s="2">
        <v>120</v>
      </c>
      <c r="K84" s="2">
        <v>118</v>
      </c>
      <c r="L84" s="2">
        <v>1214</v>
      </c>
      <c r="M84" s="2">
        <v>4073</v>
      </c>
      <c r="N84" s="2">
        <v>167</v>
      </c>
      <c r="O84" s="2">
        <v>217</v>
      </c>
      <c r="P84" s="2">
        <v>132</v>
      </c>
      <c r="Q84" s="2">
        <v>194</v>
      </c>
      <c r="R84" s="2">
        <v>85</v>
      </c>
      <c r="S84" s="2">
        <v>113</v>
      </c>
      <c r="T84" s="2">
        <v>13</v>
      </c>
      <c r="U84" s="2">
        <v>40</v>
      </c>
      <c r="V84" s="2">
        <v>65</v>
      </c>
      <c r="W84" s="2">
        <v>4</v>
      </c>
      <c r="X84" s="2">
        <v>4</v>
      </c>
      <c r="Y84" s="2">
        <v>22</v>
      </c>
    </row>
    <row r="85" spans="1:25" ht="10.5" customHeight="1">
      <c r="A85" s="3" t="s">
        <v>123</v>
      </c>
      <c r="C85" s="2">
        <v>1171</v>
      </c>
      <c r="D85" s="2">
        <v>1951</v>
      </c>
      <c r="E85" s="2">
        <v>2163</v>
      </c>
      <c r="F85" s="2">
        <v>789</v>
      </c>
      <c r="G85" s="2">
        <v>722</v>
      </c>
      <c r="H85" s="2">
        <v>1656</v>
      </c>
      <c r="I85" s="2">
        <v>63672</v>
      </c>
      <c r="J85" s="2">
        <v>537</v>
      </c>
      <c r="K85" s="2">
        <v>622</v>
      </c>
      <c r="L85" s="2">
        <v>8048</v>
      </c>
      <c r="M85" s="2">
        <v>25019</v>
      </c>
      <c r="N85" s="2">
        <v>446</v>
      </c>
      <c r="O85" s="2">
        <v>905</v>
      </c>
      <c r="P85" s="2">
        <v>510</v>
      </c>
      <c r="Q85" s="2">
        <v>556</v>
      </c>
      <c r="R85" s="2">
        <v>452</v>
      </c>
      <c r="S85" s="2">
        <v>473</v>
      </c>
      <c r="T85" s="2">
        <v>110</v>
      </c>
      <c r="U85" s="2">
        <v>362</v>
      </c>
      <c r="V85" s="2">
        <v>363</v>
      </c>
      <c r="W85" s="2">
        <v>13</v>
      </c>
      <c r="X85" s="2">
        <v>25</v>
      </c>
      <c r="Y85" s="2">
        <v>56</v>
      </c>
    </row>
    <row r="86" spans="2:25" s="4" customFormat="1" ht="10.5" customHeight="1">
      <c r="B86" s="6" t="s">
        <v>128</v>
      </c>
      <c r="C86" s="4">
        <f aca="true" t="shared" si="16" ref="C86:I86">C85/72124</f>
        <v>0.01623592701458599</v>
      </c>
      <c r="D86" s="4">
        <f t="shared" si="16"/>
        <v>0.027050635017469914</v>
      </c>
      <c r="E86" s="4">
        <f t="shared" si="16"/>
        <v>0.02999001719261272</v>
      </c>
      <c r="F86" s="4">
        <f t="shared" si="16"/>
        <v>0.01093949309522489</v>
      </c>
      <c r="G86" s="4">
        <f t="shared" si="16"/>
        <v>0.010010537407797681</v>
      </c>
      <c r="H86" s="4">
        <f t="shared" si="16"/>
        <v>0.022960456990738173</v>
      </c>
      <c r="I86" s="4">
        <f t="shared" si="16"/>
        <v>0.8828129332815706</v>
      </c>
      <c r="J86" s="4">
        <f aca="true" t="shared" si="17" ref="J86:Q86">J85/36643</f>
        <v>0.014654913626067734</v>
      </c>
      <c r="K86" s="4">
        <f t="shared" si="17"/>
        <v>0.016974592691646428</v>
      </c>
      <c r="L86" s="4">
        <f t="shared" si="17"/>
        <v>0.21963267199738012</v>
      </c>
      <c r="M86" s="4">
        <f t="shared" si="17"/>
        <v>0.682777065196627</v>
      </c>
      <c r="N86" s="4">
        <f t="shared" si="17"/>
        <v>0.012171492508801136</v>
      </c>
      <c r="O86" s="4">
        <f t="shared" si="17"/>
        <v>0.024697759462926072</v>
      </c>
      <c r="P86" s="4">
        <f t="shared" si="17"/>
        <v>0.01391807439347215</v>
      </c>
      <c r="Q86" s="4">
        <f t="shared" si="17"/>
        <v>0.015173430123079442</v>
      </c>
      <c r="R86" s="4">
        <f>R85/925</f>
        <v>0.48864864864864865</v>
      </c>
      <c r="S86" s="4">
        <f>S85/925</f>
        <v>0.5113513513513513</v>
      </c>
      <c r="T86" s="4">
        <f>T85/472</f>
        <v>0.2330508474576271</v>
      </c>
      <c r="U86" s="4">
        <f>U85/472</f>
        <v>0.7669491525423728</v>
      </c>
      <c r="V86" s="4">
        <f>V85/363</f>
        <v>1</v>
      </c>
      <c r="W86" s="4">
        <f>W85/94</f>
        <v>0.13829787234042554</v>
      </c>
      <c r="X86" s="4">
        <f>X85/94</f>
        <v>0.26595744680851063</v>
      </c>
      <c r="Y86" s="4">
        <f>Y85/94</f>
        <v>0.5957446808510638</v>
      </c>
    </row>
    <row r="87" spans="2:25" ht="10.5" customHeight="1">
      <c r="B87" s="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0.5" customHeight="1">
      <c r="A88" s="3" t="s">
        <v>72</v>
      </c>
      <c r="B88" s="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2:25" ht="10.5" customHeight="1">
      <c r="B89" s="5" t="s">
        <v>65</v>
      </c>
      <c r="C89" s="2">
        <v>284</v>
      </c>
      <c r="D89" s="2">
        <v>323</v>
      </c>
      <c r="E89" s="2">
        <v>286</v>
      </c>
      <c r="F89" s="2">
        <v>144</v>
      </c>
      <c r="G89" s="2">
        <v>175</v>
      </c>
      <c r="H89" s="2">
        <v>216</v>
      </c>
      <c r="I89" s="2">
        <v>17958</v>
      </c>
      <c r="J89" s="2">
        <v>138</v>
      </c>
      <c r="K89" s="2">
        <v>58</v>
      </c>
      <c r="L89" s="2">
        <v>2970</v>
      </c>
      <c r="M89" s="2">
        <v>7906</v>
      </c>
      <c r="N89" s="2">
        <v>61</v>
      </c>
      <c r="O89" s="2">
        <v>171</v>
      </c>
      <c r="P89" s="2">
        <v>79</v>
      </c>
      <c r="Q89" s="2">
        <v>80</v>
      </c>
      <c r="R89" s="2">
        <v>108</v>
      </c>
      <c r="S89" s="2">
        <v>100</v>
      </c>
      <c r="T89" s="2">
        <v>31</v>
      </c>
      <c r="U89" s="2">
        <v>160</v>
      </c>
      <c r="V89" s="2">
        <v>147</v>
      </c>
      <c r="W89" s="2">
        <v>3</v>
      </c>
      <c r="X89" s="2">
        <v>4</v>
      </c>
      <c r="Y89" s="2">
        <v>3</v>
      </c>
    </row>
    <row r="90" spans="2:25" ht="10.5" customHeight="1">
      <c r="B90" s="5" t="s">
        <v>69</v>
      </c>
      <c r="C90" s="2">
        <v>969</v>
      </c>
      <c r="D90" s="2">
        <v>1078</v>
      </c>
      <c r="E90" s="2">
        <v>1112</v>
      </c>
      <c r="F90" s="2">
        <v>666</v>
      </c>
      <c r="G90" s="2">
        <v>596</v>
      </c>
      <c r="H90" s="2">
        <v>962</v>
      </c>
      <c r="I90" s="2">
        <v>51888</v>
      </c>
      <c r="J90" s="2">
        <v>547</v>
      </c>
      <c r="K90" s="2">
        <v>403</v>
      </c>
      <c r="L90" s="2">
        <v>9935</v>
      </c>
      <c r="M90" s="2">
        <v>25694</v>
      </c>
      <c r="N90" s="2">
        <v>398</v>
      </c>
      <c r="O90" s="2">
        <v>580</v>
      </c>
      <c r="P90" s="2">
        <v>429</v>
      </c>
      <c r="Q90" s="2">
        <v>383</v>
      </c>
      <c r="R90" s="2">
        <v>341</v>
      </c>
      <c r="S90" s="2">
        <v>347</v>
      </c>
      <c r="T90" s="2">
        <v>71</v>
      </c>
      <c r="U90" s="2">
        <v>327</v>
      </c>
      <c r="V90" s="2">
        <v>400</v>
      </c>
      <c r="W90" s="2">
        <v>13</v>
      </c>
      <c r="X90" s="2">
        <v>24</v>
      </c>
      <c r="Y90" s="2">
        <v>21</v>
      </c>
    </row>
    <row r="91" spans="2:25" ht="10.5" customHeight="1">
      <c r="B91" s="5" t="s">
        <v>71</v>
      </c>
      <c r="C91" s="2">
        <v>302</v>
      </c>
      <c r="D91" s="2">
        <v>427</v>
      </c>
      <c r="E91" s="2">
        <v>310</v>
      </c>
      <c r="F91" s="2">
        <v>125</v>
      </c>
      <c r="G91" s="2">
        <v>282</v>
      </c>
      <c r="H91" s="2">
        <v>303</v>
      </c>
      <c r="I91" s="2">
        <v>17951</v>
      </c>
      <c r="J91" s="2">
        <v>164</v>
      </c>
      <c r="K91" s="2">
        <v>162</v>
      </c>
      <c r="L91" s="2">
        <v>1919</v>
      </c>
      <c r="M91" s="2">
        <v>4491</v>
      </c>
      <c r="N91" s="2">
        <v>86</v>
      </c>
      <c r="O91" s="2">
        <v>130</v>
      </c>
      <c r="P91" s="2">
        <v>101</v>
      </c>
      <c r="Q91" s="2">
        <v>136</v>
      </c>
      <c r="R91" s="2">
        <v>121</v>
      </c>
      <c r="S91" s="2">
        <v>69</v>
      </c>
      <c r="T91" s="2">
        <v>94</v>
      </c>
      <c r="U91" s="2">
        <v>398</v>
      </c>
      <c r="V91" s="2">
        <v>183</v>
      </c>
      <c r="W91" s="2">
        <v>9</v>
      </c>
      <c r="X91" s="2">
        <v>26</v>
      </c>
      <c r="Y91" s="2">
        <v>15</v>
      </c>
    </row>
    <row r="92" spans="1:25" ht="10.5" customHeight="1">
      <c r="A92" s="3" t="s">
        <v>123</v>
      </c>
      <c r="C92" s="2">
        <v>1555</v>
      </c>
      <c r="D92" s="2">
        <v>1828</v>
      </c>
      <c r="E92" s="2">
        <v>1708</v>
      </c>
      <c r="F92" s="2">
        <v>935</v>
      </c>
      <c r="G92" s="2">
        <v>1053</v>
      </c>
      <c r="H92" s="2">
        <v>1481</v>
      </c>
      <c r="I92" s="2">
        <v>87797</v>
      </c>
      <c r="J92" s="2">
        <v>849</v>
      </c>
      <c r="K92" s="2">
        <v>623</v>
      </c>
      <c r="L92" s="2">
        <v>14824</v>
      </c>
      <c r="M92" s="2">
        <v>38091</v>
      </c>
      <c r="N92" s="2">
        <v>545</v>
      </c>
      <c r="O92" s="2">
        <v>881</v>
      </c>
      <c r="P92" s="2">
        <v>609</v>
      </c>
      <c r="Q92" s="2">
        <v>599</v>
      </c>
      <c r="R92" s="2">
        <v>570</v>
      </c>
      <c r="S92" s="2">
        <v>516</v>
      </c>
      <c r="T92" s="2">
        <v>196</v>
      </c>
      <c r="U92" s="2">
        <v>885</v>
      </c>
      <c r="V92" s="2">
        <v>730</v>
      </c>
      <c r="W92" s="2">
        <v>25</v>
      </c>
      <c r="X92" s="2">
        <v>54</v>
      </c>
      <c r="Y92" s="2">
        <v>39</v>
      </c>
    </row>
    <row r="93" spans="2:25" s="4" customFormat="1" ht="10.5" customHeight="1">
      <c r="B93" s="6" t="s">
        <v>128</v>
      </c>
      <c r="C93" s="4">
        <f aca="true" t="shared" si="18" ref="C93:I93">C92/96357</f>
        <v>0.016137903836773666</v>
      </c>
      <c r="D93" s="4">
        <f t="shared" si="18"/>
        <v>0.01897111782226512</v>
      </c>
      <c r="E93" s="4">
        <f t="shared" si="18"/>
        <v>0.01772574903743371</v>
      </c>
      <c r="F93" s="4">
        <f t="shared" si="18"/>
        <v>0.009703498448478056</v>
      </c>
      <c r="G93" s="4">
        <f t="shared" si="18"/>
        <v>0.010928111086895608</v>
      </c>
      <c r="H93" s="4">
        <f t="shared" si="18"/>
        <v>0.015369926419460963</v>
      </c>
      <c r="I93" s="4">
        <f t="shared" si="18"/>
        <v>0.9111636933486928</v>
      </c>
      <c r="J93" s="4">
        <f aca="true" t="shared" si="19" ref="J93:Q93">J92/57021</f>
        <v>0.014889251328457937</v>
      </c>
      <c r="K93" s="4">
        <f t="shared" si="19"/>
        <v>0.010925799266936743</v>
      </c>
      <c r="L93" s="4">
        <f t="shared" si="19"/>
        <v>0.2599743953981866</v>
      </c>
      <c r="M93" s="4">
        <f t="shared" si="19"/>
        <v>0.6680170463513443</v>
      </c>
      <c r="N93" s="4">
        <f t="shared" si="19"/>
        <v>0.009557882183756862</v>
      </c>
      <c r="O93" s="4">
        <f t="shared" si="19"/>
        <v>0.015450448080531734</v>
      </c>
      <c r="P93" s="4">
        <f t="shared" si="19"/>
        <v>0.010680275687904457</v>
      </c>
      <c r="Q93" s="4">
        <f t="shared" si="19"/>
        <v>0.010504901702881394</v>
      </c>
      <c r="R93" s="4">
        <f>R92/1086</f>
        <v>0.5248618784530387</v>
      </c>
      <c r="S93" s="4">
        <f>S92/1086</f>
        <v>0.47513812154696133</v>
      </c>
      <c r="T93" s="4">
        <f>T92/1081</f>
        <v>0.18131359851988899</v>
      </c>
      <c r="U93" s="4">
        <f>U92/1081</f>
        <v>0.818686401480111</v>
      </c>
      <c r="V93" s="4">
        <f>V92/730</f>
        <v>1</v>
      </c>
      <c r="W93" s="4">
        <f>W92/118</f>
        <v>0.211864406779661</v>
      </c>
      <c r="X93" s="4">
        <f>X92/118</f>
        <v>0.4576271186440678</v>
      </c>
      <c r="Y93" s="4">
        <f>Y92/118</f>
        <v>0.3305084745762712</v>
      </c>
    </row>
    <row r="94" spans="2:25" ht="10.5" customHeight="1">
      <c r="B94" s="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0.5" customHeight="1">
      <c r="A95" s="3" t="s">
        <v>78</v>
      </c>
      <c r="B95" s="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10.5" customHeight="1">
      <c r="B96" s="5" t="s">
        <v>73</v>
      </c>
      <c r="C96" s="2">
        <v>123</v>
      </c>
      <c r="D96" s="2">
        <v>163</v>
      </c>
      <c r="E96" s="2">
        <v>284</v>
      </c>
      <c r="F96" s="2">
        <v>56</v>
      </c>
      <c r="G96" s="2">
        <v>62</v>
      </c>
      <c r="H96" s="2">
        <v>59</v>
      </c>
      <c r="I96" s="2">
        <v>2218</v>
      </c>
      <c r="J96" s="2">
        <v>51</v>
      </c>
      <c r="K96" s="2">
        <v>77</v>
      </c>
      <c r="L96" s="2">
        <v>1283</v>
      </c>
      <c r="M96" s="2">
        <v>1834</v>
      </c>
      <c r="N96" s="2">
        <v>42</v>
      </c>
      <c r="O96" s="2">
        <v>86</v>
      </c>
      <c r="P96" s="2">
        <v>168</v>
      </c>
      <c r="Q96" s="2">
        <v>29</v>
      </c>
      <c r="R96" s="2">
        <v>48</v>
      </c>
      <c r="S96" s="2">
        <v>35</v>
      </c>
      <c r="T96" s="2">
        <v>3</v>
      </c>
      <c r="U96" s="2">
        <v>7</v>
      </c>
      <c r="V96" s="2">
        <v>12</v>
      </c>
      <c r="W96" s="2">
        <v>0</v>
      </c>
      <c r="X96" s="2">
        <v>3</v>
      </c>
      <c r="Y96" s="2">
        <v>2</v>
      </c>
    </row>
    <row r="97" spans="2:25" ht="10.5" customHeight="1">
      <c r="B97" s="5" t="s">
        <v>74</v>
      </c>
      <c r="C97" s="2">
        <v>283</v>
      </c>
      <c r="D97" s="2">
        <v>520</v>
      </c>
      <c r="E97" s="2">
        <v>801</v>
      </c>
      <c r="F97" s="2">
        <v>334</v>
      </c>
      <c r="G97" s="2">
        <v>202</v>
      </c>
      <c r="H97" s="2">
        <v>294</v>
      </c>
      <c r="I97" s="2">
        <v>7122</v>
      </c>
      <c r="J97" s="2">
        <v>157</v>
      </c>
      <c r="K97" s="2">
        <v>283</v>
      </c>
      <c r="L97" s="2">
        <v>3575</v>
      </c>
      <c r="M97" s="2">
        <v>7648</v>
      </c>
      <c r="N97" s="2">
        <v>131</v>
      </c>
      <c r="O97" s="2">
        <v>252</v>
      </c>
      <c r="P97" s="2">
        <v>232</v>
      </c>
      <c r="Q97" s="2">
        <v>121</v>
      </c>
      <c r="R97" s="2">
        <v>190</v>
      </c>
      <c r="S97" s="2">
        <v>107</v>
      </c>
      <c r="T97" s="2">
        <v>12</v>
      </c>
      <c r="U97" s="2">
        <v>46</v>
      </c>
      <c r="V97" s="2">
        <v>45</v>
      </c>
      <c r="W97" s="2">
        <v>1</v>
      </c>
      <c r="X97" s="2">
        <v>5</v>
      </c>
      <c r="Y97" s="2">
        <v>10</v>
      </c>
    </row>
    <row r="98" spans="2:25" ht="10.5" customHeight="1">
      <c r="B98" s="5" t="s">
        <v>75</v>
      </c>
      <c r="C98" s="2">
        <v>458</v>
      </c>
      <c r="D98" s="2">
        <v>579</v>
      </c>
      <c r="E98" s="2">
        <v>921</v>
      </c>
      <c r="F98" s="2">
        <v>180</v>
      </c>
      <c r="G98" s="2">
        <v>218</v>
      </c>
      <c r="H98" s="2">
        <v>250</v>
      </c>
      <c r="I98" s="2">
        <v>9966</v>
      </c>
      <c r="J98" s="2">
        <v>125</v>
      </c>
      <c r="K98" s="2">
        <v>148</v>
      </c>
      <c r="L98" s="2">
        <v>1966</v>
      </c>
      <c r="M98" s="2">
        <v>3592</v>
      </c>
      <c r="N98" s="2">
        <v>81</v>
      </c>
      <c r="O98" s="2">
        <v>118</v>
      </c>
      <c r="P98" s="2">
        <v>146</v>
      </c>
      <c r="Q98" s="2">
        <v>86</v>
      </c>
      <c r="R98" s="2">
        <v>88</v>
      </c>
      <c r="S98" s="2">
        <v>62</v>
      </c>
      <c r="T98" s="2">
        <v>10</v>
      </c>
      <c r="U98" s="2">
        <v>32</v>
      </c>
      <c r="V98" s="2">
        <v>43</v>
      </c>
      <c r="W98" s="2">
        <v>1</v>
      </c>
      <c r="X98" s="2">
        <v>9</v>
      </c>
      <c r="Y98" s="2">
        <v>4</v>
      </c>
    </row>
    <row r="99" spans="2:25" ht="10.5" customHeight="1">
      <c r="B99" s="5" t="s">
        <v>76</v>
      </c>
      <c r="C99" s="2">
        <v>122</v>
      </c>
      <c r="D99" s="2">
        <v>217</v>
      </c>
      <c r="E99" s="2">
        <v>271</v>
      </c>
      <c r="F99" s="2">
        <v>47</v>
      </c>
      <c r="G99" s="2">
        <v>126</v>
      </c>
      <c r="H99" s="2">
        <v>110</v>
      </c>
      <c r="I99" s="2">
        <v>4099</v>
      </c>
      <c r="J99" s="2">
        <v>89</v>
      </c>
      <c r="K99" s="2">
        <v>93</v>
      </c>
      <c r="L99" s="2">
        <v>1208</v>
      </c>
      <c r="M99" s="2">
        <v>2752</v>
      </c>
      <c r="N99" s="2">
        <v>54</v>
      </c>
      <c r="O99" s="2">
        <v>69</v>
      </c>
      <c r="P99" s="2">
        <v>52</v>
      </c>
      <c r="Q99" s="2">
        <v>40</v>
      </c>
      <c r="R99" s="2">
        <v>44</v>
      </c>
      <c r="S99" s="2">
        <v>55</v>
      </c>
      <c r="T99" s="2">
        <v>7</v>
      </c>
      <c r="U99" s="2">
        <v>22</v>
      </c>
      <c r="V99" s="2">
        <v>18</v>
      </c>
      <c r="W99" s="2">
        <v>0</v>
      </c>
      <c r="X99" s="2">
        <v>4</v>
      </c>
      <c r="Y99" s="2">
        <v>2</v>
      </c>
    </row>
    <row r="100" spans="2:25" ht="10.5" customHeight="1">
      <c r="B100" s="5" t="s">
        <v>77</v>
      </c>
      <c r="C100" s="2">
        <v>473</v>
      </c>
      <c r="D100" s="2">
        <v>1204</v>
      </c>
      <c r="E100" s="2">
        <v>1243</v>
      </c>
      <c r="F100" s="2">
        <v>265</v>
      </c>
      <c r="G100" s="2">
        <v>346</v>
      </c>
      <c r="H100" s="2">
        <v>567</v>
      </c>
      <c r="I100" s="2">
        <v>13154</v>
      </c>
      <c r="J100" s="2">
        <v>276</v>
      </c>
      <c r="K100" s="2">
        <v>539</v>
      </c>
      <c r="L100" s="2">
        <v>5714</v>
      </c>
      <c r="M100" s="2">
        <v>10454</v>
      </c>
      <c r="N100" s="2">
        <v>264</v>
      </c>
      <c r="O100" s="2">
        <v>364</v>
      </c>
      <c r="P100" s="2">
        <v>400</v>
      </c>
      <c r="Q100" s="2">
        <v>165</v>
      </c>
      <c r="R100" s="2">
        <v>175</v>
      </c>
      <c r="S100" s="2">
        <v>115</v>
      </c>
      <c r="T100" s="2">
        <v>24</v>
      </c>
      <c r="U100" s="2">
        <v>51</v>
      </c>
      <c r="V100" s="2">
        <v>99</v>
      </c>
      <c r="W100" s="2">
        <v>3</v>
      </c>
      <c r="X100" s="2">
        <v>8</v>
      </c>
      <c r="Y100" s="2">
        <v>14</v>
      </c>
    </row>
    <row r="101" spans="1:25" ht="10.5" customHeight="1">
      <c r="A101" s="3" t="s">
        <v>123</v>
      </c>
      <c r="C101" s="2">
        <v>1459</v>
      </c>
      <c r="D101" s="2">
        <v>2683</v>
      </c>
      <c r="E101" s="2">
        <v>3520</v>
      </c>
      <c r="F101" s="2">
        <v>882</v>
      </c>
      <c r="G101" s="2">
        <v>954</v>
      </c>
      <c r="H101" s="2">
        <v>1280</v>
      </c>
      <c r="I101" s="2">
        <v>36559</v>
      </c>
      <c r="J101" s="2">
        <v>698</v>
      </c>
      <c r="K101" s="2">
        <v>1140</v>
      </c>
      <c r="L101" s="2">
        <v>13746</v>
      </c>
      <c r="M101" s="2">
        <v>26280</v>
      </c>
      <c r="N101" s="2">
        <v>572</v>
      </c>
      <c r="O101" s="2">
        <v>889</v>
      </c>
      <c r="P101" s="2">
        <v>998</v>
      </c>
      <c r="Q101" s="2">
        <v>441</v>
      </c>
      <c r="R101" s="2">
        <v>545</v>
      </c>
      <c r="S101" s="2">
        <v>374</v>
      </c>
      <c r="T101" s="2">
        <v>56</v>
      </c>
      <c r="U101" s="2">
        <v>158</v>
      </c>
      <c r="V101" s="2">
        <v>217</v>
      </c>
      <c r="W101" s="2">
        <v>5</v>
      </c>
      <c r="X101" s="2">
        <v>29</v>
      </c>
      <c r="Y101" s="2">
        <v>32</v>
      </c>
    </row>
    <row r="102" spans="2:25" s="4" customFormat="1" ht="10.5" customHeight="1">
      <c r="B102" s="6" t="s">
        <v>128</v>
      </c>
      <c r="C102" s="4">
        <f aca="true" t="shared" si="20" ref="C102:I102">C101/47337</f>
        <v>0.03082155607664195</v>
      </c>
      <c r="D102" s="4">
        <f t="shared" si="20"/>
        <v>0.05667870798740943</v>
      </c>
      <c r="E102" s="4">
        <f t="shared" si="20"/>
        <v>0.0743604368675666</v>
      </c>
      <c r="F102" s="4">
        <f t="shared" si="20"/>
        <v>0.018632359465111856</v>
      </c>
      <c r="G102" s="4">
        <f t="shared" si="20"/>
        <v>0.020153368401039356</v>
      </c>
      <c r="H102" s="4">
        <f t="shared" si="20"/>
        <v>0.02704015886093331</v>
      </c>
      <c r="I102" s="4">
        <f t="shared" si="20"/>
        <v>0.7723134123412975</v>
      </c>
      <c r="J102" s="4">
        <f aca="true" t="shared" si="21" ref="J102:Q102">J101/44764</f>
        <v>0.015592887141452953</v>
      </c>
      <c r="K102" s="4">
        <f t="shared" si="21"/>
        <v>0.025466893039049237</v>
      </c>
      <c r="L102" s="4">
        <f t="shared" si="21"/>
        <v>0.30707711553927264</v>
      </c>
      <c r="M102" s="4">
        <f t="shared" si="21"/>
        <v>0.5870789026896613</v>
      </c>
      <c r="N102" s="4">
        <f t="shared" si="21"/>
        <v>0.012778125279242249</v>
      </c>
      <c r="O102" s="4">
        <f t="shared" si="21"/>
        <v>0.019859708694486642</v>
      </c>
      <c r="P102" s="4">
        <f t="shared" si="21"/>
        <v>0.02229470109909749</v>
      </c>
      <c r="Q102" s="4">
        <f t="shared" si="21"/>
        <v>0.009851666517737468</v>
      </c>
      <c r="R102" s="4">
        <f>R101/919</f>
        <v>0.5930359085963003</v>
      </c>
      <c r="S102" s="4">
        <f>S101/919</f>
        <v>0.40696409140369966</v>
      </c>
      <c r="T102" s="4">
        <f>T101/214</f>
        <v>0.2616822429906542</v>
      </c>
      <c r="U102" s="4">
        <f>U101/214</f>
        <v>0.7383177570093458</v>
      </c>
      <c r="V102" s="4">
        <f>V101/217</f>
        <v>1</v>
      </c>
      <c r="W102" s="4">
        <f>W101/66</f>
        <v>0.07575757575757576</v>
      </c>
      <c r="X102" s="4">
        <f>X101/66</f>
        <v>0.4393939393939394</v>
      </c>
      <c r="Y102" s="4">
        <f>Y101/66</f>
        <v>0.48484848484848486</v>
      </c>
    </row>
    <row r="103" spans="2:25" ht="10.5" customHeight="1">
      <c r="B103" s="7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0.5" customHeight="1">
      <c r="A104" s="3" t="s">
        <v>79</v>
      </c>
      <c r="B104" s="7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ht="10.5" customHeight="1">
      <c r="B105" s="5" t="s">
        <v>69</v>
      </c>
      <c r="C105" s="2">
        <v>2042</v>
      </c>
      <c r="D105" s="2">
        <v>1961</v>
      </c>
      <c r="E105" s="2">
        <v>2287</v>
      </c>
      <c r="F105" s="2">
        <v>977</v>
      </c>
      <c r="G105" s="2">
        <v>799</v>
      </c>
      <c r="H105" s="2">
        <v>1379</v>
      </c>
      <c r="I105" s="2">
        <v>60475</v>
      </c>
      <c r="J105" s="2">
        <v>730</v>
      </c>
      <c r="K105" s="2">
        <v>728</v>
      </c>
      <c r="L105" s="2">
        <v>8477</v>
      </c>
      <c r="M105" s="2">
        <v>22477</v>
      </c>
      <c r="N105" s="2">
        <v>540</v>
      </c>
      <c r="O105" s="2">
        <v>997</v>
      </c>
      <c r="P105" s="2">
        <v>839</v>
      </c>
      <c r="Q105" s="2">
        <v>923</v>
      </c>
      <c r="R105" s="2">
        <v>555</v>
      </c>
      <c r="S105" s="2">
        <v>556</v>
      </c>
      <c r="T105" s="2">
        <v>95</v>
      </c>
      <c r="U105" s="2">
        <v>460</v>
      </c>
      <c r="V105" s="2">
        <v>524</v>
      </c>
      <c r="W105" s="2">
        <v>18</v>
      </c>
      <c r="X105" s="2">
        <v>56</v>
      </c>
      <c r="Y105" s="2">
        <v>82</v>
      </c>
    </row>
    <row r="106" spans="1:25" ht="10.5" customHeight="1">
      <c r="A106" s="3" t="s">
        <v>123</v>
      </c>
      <c r="C106" s="2">
        <v>2042</v>
      </c>
      <c r="D106" s="2">
        <v>1961</v>
      </c>
      <c r="E106" s="2">
        <v>2287</v>
      </c>
      <c r="F106" s="2">
        <v>977</v>
      </c>
      <c r="G106" s="2">
        <v>799</v>
      </c>
      <c r="H106" s="2">
        <v>1379</v>
      </c>
      <c r="I106" s="2">
        <v>60475</v>
      </c>
      <c r="J106" s="2">
        <v>730</v>
      </c>
      <c r="K106" s="2">
        <v>728</v>
      </c>
      <c r="L106" s="2">
        <v>8477</v>
      </c>
      <c r="M106" s="2">
        <v>22477</v>
      </c>
      <c r="N106" s="2">
        <v>540</v>
      </c>
      <c r="O106" s="2">
        <v>997</v>
      </c>
      <c r="P106" s="2">
        <v>839</v>
      </c>
      <c r="Q106" s="2">
        <v>923</v>
      </c>
      <c r="R106" s="2">
        <v>555</v>
      </c>
      <c r="S106" s="2">
        <v>556</v>
      </c>
      <c r="T106" s="2">
        <v>95</v>
      </c>
      <c r="U106" s="2">
        <v>460</v>
      </c>
      <c r="V106" s="2">
        <v>524</v>
      </c>
      <c r="W106" s="2">
        <v>18</v>
      </c>
      <c r="X106" s="2">
        <v>56</v>
      </c>
      <c r="Y106" s="2">
        <v>82</v>
      </c>
    </row>
    <row r="107" spans="2:25" s="4" customFormat="1" ht="10.5" customHeight="1">
      <c r="B107" s="6" t="s">
        <v>128</v>
      </c>
      <c r="C107" s="4">
        <f aca="true" t="shared" si="22" ref="C107:I107">C106/69920</f>
        <v>0.029204805491990848</v>
      </c>
      <c r="D107" s="4">
        <f t="shared" si="22"/>
        <v>0.02804633867276888</v>
      </c>
      <c r="E107" s="4">
        <f t="shared" si="22"/>
        <v>0.03270881006864988</v>
      </c>
      <c r="F107" s="4">
        <f t="shared" si="22"/>
        <v>0.013973112128146453</v>
      </c>
      <c r="G107" s="4">
        <f t="shared" si="22"/>
        <v>0.011427345537757438</v>
      </c>
      <c r="H107" s="4">
        <f t="shared" si="22"/>
        <v>0.019722540045766592</v>
      </c>
      <c r="I107" s="4">
        <f t="shared" si="22"/>
        <v>0.8649170480549199</v>
      </c>
      <c r="J107" s="4">
        <f aca="true" t="shared" si="23" ref="J107:Q107">J106/35711</f>
        <v>0.020441880653020078</v>
      </c>
      <c r="K107" s="4">
        <f t="shared" si="23"/>
        <v>0.02038587550054605</v>
      </c>
      <c r="L107" s="4">
        <f t="shared" si="23"/>
        <v>0.23737783876116603</v>
      </c>
      <c r="M107" s="4">
        <f t="shared" si="23"/>
        <v>0.6294139060793593</v>
      </c>
      <c r="N107" s="4">
        <f t="shared" si="23"/>
        <v>0.015121391167987455</v>
      </c>
      <c r="O107" s="4">
        <f t="shared" si="23"/>
        <v>0.027918568508302762</v>
      </c>
      <c r="P107" s="4">
        <f t="shared" si="23"/>
        <v>0.023494161462854584</v>
      </c>
      <c r="Q107" s="4">
        <f t="shared" si="23"/>
        <v>0.02584637786676374</v>
      </c>
      <c r="R107" s="4">
        <f>R106/1111</f>
        <v>0.49954995499549953</v>
      </c>
      <c r="S107" s="4">
        <f>S106/1111</f>
        <v>0.5004500450045004</v>
      </c>
      <c r="T107" s="4">
        <f>T106/555</f>
        <v>0.17117117117117117</v>
      </c>
      <c r="U107" s="4">
        <f>U106/555</f>
        <v>0.8288288288288288</v>
      </c>
      <c r="V107" s="4">
        <f>V106/524</f>
        <v>1</v>
      </c>
      <c r="W107" s="4">
        <f>W106/156</f>
        <v>0.11538461538461539</v>
      </c>
      <c r="X107" s="4">
        <f>X106/156</f>
        <v>0.358974358974359</v>
      </c>
      <c r="Y107" s="4">
        <f>Y106/156</f>
        <v>0.5256410256410257</v>
      </c>
    </row>
    <row r="108" spans="2:25" ht="10.5" customHeight="1">
      <c r="B108" s="7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0.5" customHeight="1">
      <c r="A109" s="3" t="s">
        <v>83</v>
      </c>
      <c r="B109" s="7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10.5" customHeight="1">
      <c r="B110" s="5" t="s">
        <v>80</v>
      </c>
      <c r="C110" s="2">
        <v>800</v>
      </c>
      <c r="D110" s="2">
        <v>1118</v>
      </c>
      <c r="E110" s="2">
        <v>1758</v>
      </c>
      <c r="F110" s="2">
        <v>541</v>
      </c>
      <c r="G110" s="2">
        <v>665</v>
      </c>
      <c r="H110" s="2">
        <v>805</v>
      </c>
      <c r="I110" s="2">
        <v>20176</v>
      </c>
      <c r="J110" s="2">
        <v>538</v>
      </c>
      <c r="K110" s="2">
        <v>753</v>
      </c>
      <c r="L110" s="2">
        <v>18575</v>
      </c>
      <c r="M110" s="2">
        <v>31331</v>
      </c>
      <c r="N110" s="2">
        <v>383</v>
      </c>
      <c r="O110" s="2">
        <v>582</v>
      </c>
      <c r="P110" s="2">
        <v>1003</v>
      </c>
      <c r="Q110" s="2">
        <v>336</v>
      </c>
      <c r="R110" s="2">
        <v>329</v>
      </c>
      <c r="S110" s="2">
        <v>205</v>
      </c>
      <c r="T110" s="2">
        <v>22</v>
      </c>
      <c r="U110" s="2">
        <v>139</v>
      </c>
      <c r="V110" s="2">
        <v>192</v>
      </c>
      <c r="W110" s="2">
        <v>7</v>
      </c>
      <c r="X110" s="2">
        <v>18</v>
      </c>
      <c r="Y110" s="2">
        <v>11</v>
      </c>
    </row>
    <row r="111" spans="2:25" ht="10.5" customHeight="1">
      <c r="B111" s="5" t="s">
        <v>73</v>
      </c>
      <c r="C111" s="2">
        <v>197</v>
      </c>
      <c r="D111" s="2">
        <v>245</v>
      </c>
      <c r="E111" s="2">
        <v>402</v>
      </c>
      <c r="F111" s="2">
        <v>104</v>
      </c>
      <c r="G111" s="2">
        <v>139</v>
      </c>
      <c r="H111" s="2">
        <v>196</v>
      </c>
      <c r="I111" s="2">
        <v>3087</v>
      </c>
      <c r="J111" s="2">
        <v>142</v>
      </c>
      <c r="K111" s="2">
        <v>134</v>
      </c>
      <c r="L111" s="2">
        <v>3527</v>
      </c>
      <c r="M111" s="2">
        <v>5748</v>
      </c>
      <c r="N111" s="2">
        <v>103</v>
      </c>
      <c r="O111" s="2">
        <v>231</v>
      </c>
      <c r="P111" s="2">
        <v>309</v>
      </c>
      <c r="Q111" s="2">
        <v>92</v>
      </c>
      <c r="R111" s="2">
        <v>133</v>
      </c>
      <c r="S111" s="2">
        <v>66</v>
      </c>
      <c r="T111" s="2">
        <v>9</v>
      </c>
      <c r="U111" s="2">
        <v>37</v>
      </c>
      <c r="V111" s="2">
        <v>51</v>
      </c>
      <c r="W111" s="2">
        <v>1</v>
      </c>
      <c r="X111" s="2">
        <v>9</v>
      </c>
      <c r="Y111" s="2">
        <v>4</v>
      </c>
    </row>
    <row r="112" spans="2:25" ht="10.5" customHeight="1">
      <c r="B112" s="5" t="s">
        <v>81</v>
      </c>
      <c r="C112" s="2">
        <v>42</v>
      </c>
      <c r="D112" s="2">
        <v>86</v>
      </c>
      <c r="E112" s="2">
        <v>117</v>
      </c>
      <c r="F112" s="2">
        <v>36</v>
      </c>
      <c r="G112" s="2">
        <v>39</v>
      </c>
      <c r="H112" s="2">
        <v>43</v>
      </c>
      <c r="I112" s="2">
        <v>1565</v>
      </c>
      <c r="J112" s="2">
        <v>63</v>
      </c>
      <c r="K112" s="2">
        <v>87</v>
      </c>
      <c r="L112" s="2">
        <v>1105</v>
      </c>
      <c r="M112" s="2">
        <v>2011</v>
      </c>
      <c r="N112" s="2">
        <v>53</v>
      </c>
      <c r="O112" s="2">
        <v>59</v>
      </c>
      <c r="P112" s="2">
        <v>58</v>
      </c>
      <c r="Q112" s="2">
        <v>32</v>
      </c>
      <c r="R112" s="2">
        <v>65</v>
      </c>
      <c r="S112" s="2">
        <v>31</v>
      </c>
      <c r="T112" s="2">
        <v>16</v>
      </c>
      <c r="U112" s="2">
        <v>28</v>
      </c>
      <c r="V112" s="2">
        <v>33</v>
      </c>
      <c r="W112" s="2">
        <v>0</v>
      </c>
      <c r="X112" s="2">
        <v>1</v>
      </c>
      <c r="Y112" s="2">
        <v>1</v>
      </c>
    </row>
    <row r="113" spans="2:25" ht="10.5" customHeight="1">
      <c r="B113" s="5" t="s">
        <v>59</v>
      </c>
      <c r="C113" s="2">
        <v>249</v>
      </c>
      <c r="D113" s="2">
        <v>571</v>
      </c>
      <c r="E113" s="2">
        <v>637</v>
      </c>
      <c r="F113" s="2">
        <v>227</v>
      </c>
      <c r="G113" s="2">
        <v>167</v>
      </c>
      <c r="H113" s="2">
        <v>331</v>
      </c>
      <c r="I113" s="2">
        <v>7064</v>
      </c>
      <c r="J113" s="2">
        <v>279</v>
      </c>
      <c r="K113" s="2">
        <v>529</v>
      </c>
      <c r="L113" s="2">
        <v>5572</v>
      </c>
      <c r="M113" s="2">
        <v>12590</v>
      </c>
      <c r="N113" s="2">
        <v>225</v>
      </c>
      <c r="O113" s="2">
        <v>400</v>
      </c>
      <c r="P113" s="2">
        <v>335</v>
      </c>
      <c r="Q113" s="2">
        <v>161</v>
      </c>
      <c r="R113" s="2">
        <v>169</v>
      </c>
      <c r="S113" s="2">
        <v>124</v>
      </c>
      <c r="T113" s="2">
        <v>10</v>
      </c>
      <c r="U113" s="2">
        <v>33</v>
      </c>
      <c r="V113" s="2">
        <v>82</v>
      </c>
      <c r="W113" s="2">
        <v>1</v>
      </c>
      <c r="X113" s="2">
        <v>5</v>
      </c>
      <c r="Y113" s="2">
        <v>5</v>
      </c>
    </row>
    <row r="114" spans="2:25" ht="10.5" customHeight="1">
      <c r="B114" s="5" t="s">
        <v>77</v>
      </c>
      <c r="C114" s="2">
        <v>254</v>
      </c>
      <c r="D114" s="2">
        <v>503</v>
      </c>
      <c r="E114" s="2">
        <v>693</v>
      </c>
      <c r="F114" s="2">
        <v>153</v>
      </c>
      <c r="G114" s="2">
        <v>177</v>
      </c>
      <c r="H114" s="2">
        <v>307</v>
      </c>
      <c r="I114" s="2">
        <v>7186</v>
      </c>
      <c r="J114" s="2">
        <v>218</v>
      </c>
      <c r="K114" s="2">
        <v>360</v>
      </c>
      <c r="L114" s="2">
        <v>5230</v>
      </c>
      <c r="M114" s="2">
        <v>9852</v>
      </c>
      <c r="N114" s="2">
        <v>198</v>
      </c>
      <c r="O114" s="2">
        <v>334</v>
      </c>
      <c r="P114" s="2">
        <v>241</v>
      </c>
      <c r="Q114" s="2">
        <v>114</v>
      </c>
      <c r="R114" s="2">
        <v>145</v>
      </c>
      <c r="S114" s="2">
        <v>81</v>
      </c>
      <c r="T114" s="2">
        <v>4</v>
      </c>
      <c r="U114" s="2">
        <v>24</v>
      </c>
      <c r="V114" s="2">
        <v>62</v>
      </c>
      <c r="W114" s="2">
        <v>2</v>
      </c>
      <c r="X114" s="2">
        <v>4</v>
      </c>
      <c r="Y114" s="2">
        <v>5</v>
      </c>
    </row>
    <row r="115" spans="2:25" ht="10.5" customHeight="1">
      <c r="B115" s="5" t="s">
        <v>82</v>
      </c>
      <c r="C115" s="2">
        <v>126</v>
      </c>
      <c r="D115" s="2">
        <v>228</v>
      </c>
      <c r="E115" s="2">
        <v>309</v>
      </c>
      <c r="F115" s="2">
        <v>73</v>
      </c>
      <c r="G115" s="2">
        <v>77</v>
      </c>
      <c r="H115" s="2">
        <v>141</v>
      </c>
      <c r="I115" s="2">
        <v>4407</v>
      </c>
      <c r="J115" s="2">
        <v>150</v>
      </c>
      <c r="K115" s="2">
        <v>176</v>
      </c>
      <c r="L115" s="2">
        <v>2427</v>
      </c>
      <c r="M115" s="2">
        <v>5083</v>
      </c>
      <c r="N115" s="2">
        <v>119</v>
      </c>
      <c r="O115" s="2">
        <v>204</v>
      </c>
      <c r="P115" s="2">
        <v>180</v>
      </c>
      <c r="Q115" s="2">
        <v>79</v>
      </c>
      <c r="R115" s="2">
        <v>143</v>
      </c>
      <c r="S115" s="2">
        <v>68</v>
      </c>
      <c r="T115" s="2">
        <v>16</v>
      </c>
      <c r="U115" s="2">
        <v>51</v>
      </c>
      <c r="V115" s="2">
        <v>82</v>
      </c>
      <c r="W115" s="2">
        <v>1</v>
      </c>
      <c r="X115" s="2">
        <v>4</v>
      </c>
      <c r="Y115" s="2">
        <v>6</v>
      </c>
    </row>
    <row r="116" spans="1:25" ht="10.5" customHeight="1">
      <c r="A116" s="3" t="s">
        <v>123</v>
      </c>
      <c r="C116" s="2">
        <v>1668</v>
      </c>
      <c r="D116" s="2">
        <v>2751</v>
      </c>
      <c r="E116" s="2">
        <v>3916</v>
      </c>
      <c r="F116" s="2">
        <v>1134</v>
      </c>
      <c r="G116" s="2">
        <v>1264</v>
      </c>
      <c r="H116" s="2">
        <v>1823</v>
      </c>
      <c r="I116" s="2">
        <v>43485</v>
      </c>
      <c r="J116" s="2">
        <v>1390</v>
      </c>
      <c r="K116" s="2">
        <v>2039</v>
      </c>
      <c r="L116" s="2">
        <v>36436</v>
      </c>
      <c r="M116" s="2">
        <v>66615</v>
      </c>
      <c r="N116" s="2">
        <v>1081</v>
      </c>
      <c r="O116" s="2">
        <v>1810</v>
      </c>
      <c r="P116" s="2">
        <v>2126</v>
      </c>
      <c r="Q116" s="2">
        <v>814</v>
      </c>
      <c r="R116" s="2">
        <v>984</v>
      </c>
      <c r="S116" s="2">
        <v>575</v>
      </c>
      <c r="T116" s="2">
        <v>77</v>
      </c>
      <c r="U116" s="2">
        <v>312</v>
      </c>
      <c r="V116" s="2">
        <v>502</v>
      </c>
      <c r="W116" s="2">
        <v>12</v>
      </c>
      <c r="X116" s="2">
        <v>41</v>
      </c>
      <c r="Y116" s="2">
        <v>32</v>
      </c>
    </row>
    <row r="117" spans="2:25" s="4" customFormat="1" ht="10.5" customHeight="1">
      <c r="B117" s="6" t="s">
        <v>128</v>
      </c>
      <c r="C117" s="4">
        <f aca="true" t="shared" si="24" ref="C117:I117">C116/56041</f>
        <v>0.029763922842204815</v>
      </c>
      <c r="D117" s="4">
        <f t="shared" si="24"/>
        <v>0.04908905979550686</v>
      </c>
      <c r="E117" s="4">
        <f t="shared" si="24"/>
        <v>0.06987741118109955</v>
      </c>
      <c r="F117" s="4">
        <f t="shared" si="24"/>
        <v>0.020235184953873057</v>
      </c>
      <c r="G117" s="4">
        <f t="shared" si="24"/>
        <v>0.022554915151407007</v>
      </c>
      <c r="H117" s="4">
        <f t="shared" si="24"/>
        <v>0.03252975500080298</v>
      </c>
      <c r="I117" s="4">
        <f t="shared" si="24"/>
        <v>0.7759497510751058</v>
      </c>
      <c r="J117" s="4">
        <f aca="true" t="shared" si="25" ref="J117:Q117">J116/112312</f>
        <v>0.012376237623762377</v>
      </c>
      <c r="K117" s="4">
        <f t="shared" si="25"/>
        <v>0.0181547831042097</v>
      </c>
      <c r="L117" s="4">
        <f t="shared" si="25"/>
        <v>0.32441769356791794</v>
      </c>
      <c r="M117" s="4">
        <f t="shared" si="25"/>
        <v>0.5931245102927559</v>
      </c>
      <c r="N117" s="4">
        <f t="shared" si="25"/>
        <v>0.009624973288695776</v>
      </c>
      <c r="O117" s="4">
        <f t="shared" si="25"/>
        <v>0.016115820215115036</v>
      </c>
      <c r="P117" s="4">
        <f t="shared" si="25"/>
        <v>0.018929410926704183</v>
      </c>
      <c r="Q117" s="4">
        <f t="shared" si="25"/>
        <v>0.007247667212764442</v>
      </c>
      <c r="R117" s="4">
        <f>R116/1559</f>
        <v>0.6311738293778063</v>
      </c>
      <c r="S117" s="4">
        <f>S116/1559</f>
        <v>0.3688261706221937</v>
      </c>
      <c r="T117" s="4">
        <f>T116/389</f>
        <v>0.19794344473007713</v>
      </c>
      <c r="U117" s="4">
        <f>U116/389</f>
        <v>0.8020565552699229</v>
      </c>
      <c r="V117" s="4">
        <f>V116/502</f>
        <v>1</v>
      </c>
      <c r="W117" s="4">
        <f>W116/85</f>
        <v>0.1411764705882353</v>
      </c>
      <c r="X117" s="4">
        <f>X116/85</f>
        <v>0.4823529411764706</v>
      </c>
      <c r="Y117" s="4">
        <f>Y116/85</f>
        <v>0.3764705882352941</v>
      </c>
    </row>
    <row r="118" spans="2:25" ht="10.5" customHeight="1">
      <c r="B118" s="7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0.5" customHeight="1">
      <c r="A119" s="3" t="s">
        <v>86</v>
      </c>
      <c r="B119" s="7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10.5" customHeight="1">
      <c r="B120" s="5" t="s">
        <v>75</v>
      </c>
      <c r="C120" s="2">
        <v>255</v>
      </c>
      <c r="D120" s="2">
        <v>391</v>
      </c>
      <c r="E120" s="2">
        <v>428</v>
      </c>
      <c r="F120" s="2">
        <v>145</v>
      </c>
      <c r="G120" s="2">
        <v>228</v>
      </c>
      <c r="H120" s="2">
        <v>362</v>
      </c>
      <c r="I120" s="2">
        <v>16873</v>
      </c>
      <c r="J120" s="2">
        <v>197</v>
      </c>
      <c r="K120" s="2">
        <v>237</v>
      </c>
      <c r="L120" s="2">
        <v>3798</v>
      </c>
      <c r="M120" s="2">
        <v>10203</v>
      </c>
      <c r="N120" s="2">
        <v>181</v>
      </c>
      <c r="O120" s="2">
        <v>206</v>
      </c>
      <c r="P120" s="2">
        <v>174</v>
      </c>
      <c r="Q120" s="2">
        <v>209</v>
      </c>
      <c r="R120" s="2">
        <v>178</v>
      </c>
      <c r="S120" s="2">
        <v>143</v>
      </c>
      <c r="T120" s="2">
        <v>40</v>
      </c>
      <c r="U120" s="2">
        <v>154</v>
      </c>
      <c r="V120" s="2">
        <v>124</v>
      </c>
      <c r="W120" s="2">
        <v>4</v>
      </c>
      <c r="X120" s="2">
        <v>7</v>
      </c>
      <c r="Y120" s="2">
        <v>8</v>
      </c>
    </row>
    <row r="121" spans="2:25" ht="10.5" customHeight="1">
      <c r="B121" s="5" t="s">
        <v>84</v>
      </c>
      <c r="C121" s="2">
        <v>411</v>
      </c>
      <c r="D121" s="2">
        <v>792</v>
      </c>
      <c r="E121" s="2">
        <v>968</v>
      </c>
      <c r="F121" s="2">
        <v>209</v>
      </c>
      <c r="G121" s="2">
        <v>359</v>
      </c>
      <c r="H121" s="2">
        <v>431</v>
      </c>
      <c r="I121" s="2">
        <v>22040</v>
      </c>
      <c r="J121" s="2">
        <v>624</v>
      </c>
      <c r="K121" s="2">
        <v>737</v>
      </c>
      <c r="L121" s="2">
        <v>10151</v>
      </c>
      <c r="M121" s="2">
        <v>22257</v>
      </c>
      <c r="N121" s="2">
        <v>520</v>
      </c>
      <c r="O121" s="2">
        <v>956</v>
      </c>
      <c r="P121" s="2">
        <v>578</v>
      </c>
      <c r="Q121" s="2">
        <v>328</v>
      </c>
      <c r="R121" s="2">
        <v>224</v>
      </c>
      <c r="S121" s="2">
        <v>128</v>
      </c>
      <c r="T121" s="2">
        <v>54</v>
      </c>
      <c r="U121" s="2">
        <v>298</v>
      </c>
      <c r="V121" s="2">
        <v>275</v>
      </c>
      <c r="W121" s="2">
        <v>5</v>
      </c>
      <c r="X121" s="2">
        <v>13</v>
      </c>
      <c r="Y121" s="2">
        <v>20</v>
      </c>
    </row>
    <row r="122" spans="2:25" ht="10.5" customHeight="1">
      <c r="B122" s="5" t="s">
        <v>85</v>
      </c>
      <c r="C122" s="2">
        <v>136</v>
      </c>
      <c r="D122" s="2">
        <v>382</v>
      </c>
      <c r="E122" s="2">
        <v>457</v>
      </c>
      <c r="F122" s="2">
        <v>83</v>
      </c>
      <c r="G122" s="2">
        <v>104</v>
      </c>
      <c r="H122" s="2">
        <v>184</v>
      </c>
      <c r="I122" s="2">
        <v>4089</v>
      </c>
      <c r="J122" s="2">
        <v>113</v>
      </c>
      <c r="K122" s="2">
        <v>162</v>
      </c>
      <c r="L122" s="2">
        <v>2761</v>
      </c>
      <c r="M122" s="2">
        <v>5407</v>
      </c>
      <c r="N122" s="2">
        <v>142</v>
      </c>
      <c r="O122" s="2">
        <v>308</v>
      </c>
      <c r="P122" s="2">
        <v>260</v>
      </c>
      <c r="Q122" s="2">
        <v>84</v>
      </c>
      <c r="R122" s="2">
        <v>90</v>
      </c>
      <c r="S122" s="2">
        <v>48</v>
      </c>
      <c r="T122" s="2">
        <v>3</v>
      </c>
      <c r="U122" s="2">
        <v>22</v>
      </c>
      <c r="V122" s="2">
        <v>41</v>
      </c>
      <c r="W122" s="2">
        <v>2</v>
      </c>
      <c r="X122" s="2">
        <v>5</v>
      </c>
      <c r="Y122" s="2">
        <v>6</v>
      </c>
    </row>
    <row r="123" spans="2:25" ht="10.5" customHeight="1">
      <c r="B123" s="5" t="s">
        <v>69</v>
      </c>
      <c r="C123" s="2">
        <v>292</v>
      </c>
      <c r="D123" s="2">
        <v>473</v>
      </c>
      <c r="E123" s="2">
        <v>391</v>
      </c>
      <c r="F123" s="2">
        <v>137</v>
      </c>
      <c r="G123" s="2">
        <v>227</v>
      </c>
      <c r="H123" s="2">
        <v>511</v>
      </c>
      <c r="I123" s="2">
        <v>19388</v>
      </c>
      <c r="J123" s="2">
        <v>226</v>
      </c>
      <c r="K123" s="2">
        <v>218</v>
      </c>
      <c r="L123" s="2">
        <v>5908</v>
      </c>
      <c r="M123" s="2">
        <v>16538</v>
      </c>
      <c r="N123" s="2">
        <v>163</v>
      </c>
      <c r="O123" s="2">
        <v>312</v>
      </c>
      <c r="P123" s="2">
        <v>165</v>
      </c>
      <c r="Q123" s="2">
        <v>190</v>
      </c>
      <c r="R123" s="2">
        <v>172</v>
      </c>
      <c r="S123" s="2">
        <v>161</v>
      </c>
      <c r="T123" s="2">
        <v>21</v>
      </c>
      <c r="U123" s="2">
        <v>110</v>
      </c>
      <c r="V123" s="2">
        <v>146</v>
      </c>
      <c r="W123" s="2">
        <v>2</v>
      </c>
      <c r="X123" s="2">
        <v>8</v>
      </c>
      <c r="Y123" s="2">
        <v>11</v>
      </c>
    </row>
    <row r="124" spans="2:25" ht="10.5" customHeight="1">
      <c r="B124" s="5" t="s">
        <v>71</v>
      </c>
      <c r="C124" s="2">
        <v>275</v>
      </c>
      <c r="D124" s="2">
        <v>351</v>
      </c>
      <c r="E124" s="2">
        <v>348</v>
      </c>
      <c r="F124" s="2">
        <v>78</v>
      </c>
      <c r="G124" s="2">
        <v>172</v>
      </c>
      <c r="H124" s="2">
        <v>239</v>
      </c>
      <c r="I124" s="2">
        <v>10713</v>
      </c>
      <c r="J124" s="2">
        <v>126</v>
      </c>
      <c r="K124" s="2">
        <v>124</v>
      </c>
      <c r="L124" s="2">
        <v>1957</v>
      </c>
      <c r="M124" s="2">
        <v>5026</v>
      </c>
      <c r="N124" s="2">
        <v>71</v>
      </c>
      <c r="O124" s="2">
        <v>143</v>
      </c>
      <c r="P124" s="2">
        <v>107</v>
      </c>
      <c r="Q124" s="2">
        <v>107</v>
      </c>
      <c r="R124" s="2">
        <v>78</v>
      </c>
      <c r="S124" s="2">
        <v>66</v>
      </c>
      <c r="T124" s="2">
        <v>36</v>
      </c>
      <c r="U124" s="2">
        <v>130</v>
      </c>
      <c r="V124" s="2">
        <v>86</v>
      </c>
      <c r="W124" s="2">
        <v>3</v>
      </c>
      <c r="X124" s="2">
        <v>12</v>
      </c>
      <c r="Y124" s="2">
        <v>7</v>
      </c>
    </row>
    <row r="125" spans="1:25" ht="10.5" customHeight="1">
      <c r="A125" s="3" t="s">
        <v>123</v>
      </c>
      <c r="C125" s="2">
        <v>1369</v>
      </c>
      <c r="D125" s="2">
        <v>2389</v>
      </c>
      <c r="E125" s="2">
        <v>2592</v>
      </c>
      <c r="F125" s="2">
        <v>652</v>
      </c>
      <c r="G125" s="2">
        <v>1090</v>
      </c>
      <c r="H125" s="2">
        <v>1727</v>
      </c>
      <c r="I125" s="2">
        <v>73103</v>
      </c>
      <c r="J125" s="2">
        <v>1286</v>
      </c>
      <c r="K125" s="2">
        <v>1478</v>
      </c>
      <c r="L125" s="2">
        <v>24575</v>
      </c>
      <c r="M125" s="2">
        <v>59431</v>
      </c>
      <c r="N125" s="2">
        <v>1077</v>
      </c>
      <c r="O125" s="2">
        <v>1925</v>
      </c>
      <c r="P125" s="2">
        <v>1284</v>
      </c>
      <c r="Q125" s="2">
        <v>918</v>
      </c>
      <c r="R125" s="2">
        <v>742</v>
      </c>
      <c r="S125" s="2">
        <v>546</v>
      </c>
      <c r="T125" s="2">
        <v>154</v>
      </c>
      <c r="U125" s="2">
        <v>714</v>
      </c>
      <c r="V125" s="2">
        <v>672</v>
      </c>
      <c r="W125" s="2">
        <v>16</v>
      </c>
      <c r="X125" s="2">
        <v>45</v>
      </c>
      <c r="Y125" s="2">
        <v>52</v>
      </c>
    </row>
    <row r="126" spans="2:25" s="4" customFormat="1" ht="10.5" customHeight="1">
      <c r="B126" s="6" t="s">
        <v>128</v>
      </c>
      <c r="C126" s="4">
        <f aca="true" t="shared" si="26" ref="C126:I126">C125/82922</f>
        <v>0.016509490846819904</v>
      </c>
      <c r="D126" s="4">
        <f t="shared" si="26"/>
        <v>0.028810207182653577</v>
      </c>
      <c r="E126" s="4">
        <f t="shared" si="26"/>
        <v>0.03125829092400087</v>
      </c>
      <c r="F126" s="4">
        <f t="shared" si="26"/>
        <v>0.007862810834277997</v>
      </c>
      <c r="G126" s="4">
        <f t="shared" si="26"/>
        <v>0.01314488314319481</v>
      </c>
      <c r="H126" s="4">
        <f t="shared" si="26"/>
        <v>0.020826801090181132</v>
      </c>
      <c r="I126" s="4">
        <f t="shared" si="26"/>
        <v>0.8815875159788717</v>
      </c>
      <c r="J126" s="4">
        <f aca="true" t="shared" si="27" ref="J126:Q126">J125/91974</f>
        <v>0.013982212364363842</v>
      </c>
      <c r="K126" s="4">
        <f t="shared" si="27"/>
        <v>0.01606975884489095</v>
      </c>
      <c r="L126" s="4">
        <f t="shared" si="27"/>
        <v>0.2671950768695501</v>
      </c>
      <c r="M126" s="4">
        <f t="shared" si="27"/>
        <v>0.646171744188575</v>
      </c>
      <c r="N126" s="4">
        <f t="shared" si="27"/>
        <v>0.011709831039206732</v>
      </c>
      <c r="O126" s="4">
        <f t="shared" si="27"/>
        <v>0.020929827994868117</v>
      </c>
      <c r="P126" s="4">
        <f t="shared" si="27"/>
        <v>0.013960467088525018</v>
      </c>
      <c r="Q126" s="4">
        <f t="shared" si="27"/>
        <v>0.009981081610020223</v>
      </c>
      <c r="R126" s="4">
        <f>R125/1288</f>
        <v>0.5760869565217391</v>
      </c>
      <c r="S126" s="4">
        <f>S125/1288</f>
        <v>0.42391304347826086</v>
      </c>
      <c r="T126" s="4">
        <f>T125/868</f>
        <v>0.1774193548387097</v>
      </c>
      <c r="U126" s="4">
        <f>U125/868</f>
        <v>0.8225806451612904</v>
      </c>
      <c r="V126" s="4">
        <f>V125/672</f>
        <v>1</v>
      </c>
      <c r="W126" s="4">
        <f>W125/113</f>
        <v>0.1415929203539823</v>
      </c>
      <c r="X126" s="4">
        <f>X125/113</f>
        <v>0.39823008849557523</v>
      </c>
      <c r="Y126" s="4">
        <f>Y125/113</f>
        <v>0.46017699115044247</v>
      </c>
    </row>
    <row r="127" spans="2:25" ht="10.5" customHeight="1">
      <c r="B127" s="7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0.5" customHeight="1">
      <c r="A128" s="3" t="s">
        <v>90</v>
      </c>
      <c r="B128" s="7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10.5" customHeight="1">
      <c r="B129" s="5" t="s">
        <v>80</v>
      </c>
      <c r="C129" s="2">
        <v>456</v>
      </c>
      <c r="D129" s="2">
        <v>983</v>
      </c>
      <c r="E129" s="2">
        <v>1474</v>
      </c>
      <c r="F129" s="2">
        <v>552</v>
      </c>
      <c r="G129" s="2">
        <v>278</v>
      </c>
      <c r="H129" s="2">
        <v>340</v>
      </c>
      <c r="I129" s="2">
        <v>11222</v>
      </c>
      <c r="J129" s="2">
        <v>199</v>
      </c>
      <c r="K129" s="2">
        <v>324</v>
      </c>
      <c r="L129" s="2">
        <v>3584</v>
      </c>
      <c r="M129" s="2">
        <v>5286</v>
      </c>
      <c r="N129" s="2">
        <v>118</v>
      </c>
      <c r="O129" s="2">
        <v>227</v>
      </c>
      <c r="P129" s="2">
        <v>308</v>
      </c>
      <c r="Q129" s="2">
        <v>100</v>
      </c>
      <c r="R129" s="2">
        <v>118</v>
      </c>
      <c r="S129" s="2">
        <v>87</v>
      </c>
      <c r="T129" s="2">
        <v>18</v>
      </c>
      <c r="U129" s="2">
        <v>45</v>
      </c>
      <c r="V129" s="2">
        <v>47</v>
      </c>
      <c r="W129" s="2">
        <v>1</v>
      </c>
      <c r="X129" s="2">
        <v>15</v>
      </c>
      <c r="Y129" s="2">
        <v>8</v>
      </c>
    </row>
    <row r="130" spans="2:25" ht="10.5" customHeight="1">
      <c r="B130" s="5" t="s">
        <v>87</v>
      </c>
      <c r="C130" s="2">
        <v>354</v>
      </c>
      <c r="D130" s="2">
        <v>621</v>
      </c>
      <c r="E130" s="2">
        <v>921</v>
      </c>
      <c r="F130" s="2">
        <v>201</v>
      </c>
      <c r="G130" s="2">
        <v>130</v>
      </c>
      <c r="H130" s="2">
        <v>202</v>
      </c>
      <c r="I130" s="2">
        <v>4895</v>
      </c>
      <c r="J130" s="2">
        <v>121</v>
      </c>
      <c r="K130" s="2">
        <v>189</v>
      </c>
      <c r="L130" s="2">
        <v>1414</v>
      </c>
      <c r="M130" s="2">
        <v>2212</v>
      </c>
      <c r="N130" s="2">
        <v>70</v>
      </c>
      <c r="O130" s="2">
        <v>113</v>
      </c>
      <c r="P130" s="2">
        <v>122</v>
      </c>
      <c r="Q130" s="2">
        <v>80</v>
      </c>
      <c r="R130" s="2">
        <v>62</v>
      </c>
      <c r="S130" s="2">
        <v>45</v>
      </c>
      <c r="T130" s="2">
        <v>2</v>
      </c>
      <c r="U130" s="2">
        <v>4</v>
      </c>
      <c r="V130" s="2">
        <v>19</v>
      </c>
      <c r="W130" s="2">
        <v>0</v>
      </c>
      <c r="X130" s="2">
        <v>4</v>
      </c>
      <c r="Y130" s="2">
        <v>5</v>
      </c>
    </row>
    <row r="131" spans="2:25" ht="10.5" customHeight="1">
      <c r="B131" s="5" t="s">
        <v>88</v>
      </c>
      <c r="C131" s="2">
        <v>256</v>
      </c>
      <c r="D131" s="2">
        <v>348</v>
      </c>
      <c r="E131" s="2">
        <v>561</v>
      </c>
      <c r="F131" s="2">
        <v>144</v>
      </c>
      <c r="G131" s="2">
        <v>120</v>
      </c>
      <c r="H131" s="2">
        <v>201</v>
      </c>
      <c r="I131" s="2">
        <v>3766</v>
      </c>
      <c r="J131" s="2">
        <v>192</v>
      </c>
      <c r="K131" s="2">
        <v>271</v>
      </c>
      <c r="L131" s="2">
        <v>3486</v>
      </c>
      <c r="M131" s="2">
        <v>4942</v>
      </c>
      <c r="N131" s="2">
        <v>83</v>
      </c>
      <c r="O131" s="2">
        <v>288</v>
      </c>
      <c r="P131" s="2">
        <v>197</v>
      </c>
      <c r="Q131" s="2">
        <v>84</v>
      </c>
      <c r="R131" s="2">
        <v>102</v>
      </c>
      <c r="S131" s="2">
        <v>82</v>
      </c>
      <c r="T131" s="2">
        <v>7</v>
      </c>
      <c r="U131" s="2">
        <v>11</v>
      </c>
      <c r="V131" s="2">
        <v>38</v>
      </c>
      <c r="W131" s="2">
        <v>1</v>
      </c>
      <c r="X131" s="2">
        <v>1</v>
      </c>
      <c r="Y131" s="2">
        <v>1</v>
      </c>
    </row>
    <row r="132" spans="2:25" ht="10.5" customHeight="1">
      <c r="B132" s="5" t="s">
        <v>89</v>
      </c>
      <c r="C132" s="2">
        <v>84</v>
      </c>
      <c r="D132" s="2">
        <v>254</v>
      </c>
      <c r="E132" s="2">
        <v>338</v>
      </c>
      <c r="F132" s="2">
        <v>79</v>
      </c>
      <c r="G132" s="2">
        <v>50</v>
      </c>
      <c r="H132" s="2">
        <v>96</v>
      </c>
      <c r="I132" s="2">
        <v>1779</v>
      </c>
      <c r="J132" s="2">
        <v>53</v>
      </c>
      <c r="K132" s="2">
        <v>108</v>
      </c>
      <c r="L132" s="2">
        <v>1266</v>
      </c>
      <c r="M132" s="2">
        <v>2028</v>
      </c>
      <c r="N132" s="2">
        <v>39</v>
      </c>
      <c r="O132" s="2">
        <v>61</v>
      </c>
      <c r="P132" s="2">
        <v>67</v>
      </c>
      <c r="Q132" s="2">
        <v>34</v>
      </c>
      <c r="R132" s="2">
        <v>34</v>
      </c>
      <c r="S132" s="2">
        <v>27</v>
      </c>
      <c r="T132" s="2">
        <v>0</v>
      </c>
      <c r="U132" s="2">
        <v>3</v>
      </c>
      <c r="V132" s="2">
        <v>11</v>
      </c>
      <c r="W132" s="2">
        <v>0</v>
      </c>
      <c r="X132" s="2">
        <v>4</v>
      </c>
      <c r="Y132" s="2">
        <v>3</v>
      </c>
    </row>
    <row r="133" spans="1:25" ht="10.5" customHeight="1">
      <c r="A133" s="3" t="s">
        <v>123</v>
      </c>
      <c r="C133" s="2">
        <v>1150</v>
      </c>
      <c r="D133" s="2">
        <v>2206</v>
      </c>
      <c r="E133" s="2">
        <v>3294</v>
      </c>
      <c r="F133" s="2">
        <v>976</v>
      </c>
      <c r="G133" s="2">
        <v>578</v>
      </c>
      <c r="H133" s="2">
        <v>839</v>
      </c>
      <c r="I133" s="2">
        <v>21662</v>
      </c>
      <c r="J133" s="2">
        <v>565</v>
      </c>
      <c r="K133" s="2">
        <v>892</v>
      </c>
      <c r="L133" s="2">
        <v>9750</v>
      </c>
      <c r="M133" s="2">
        <v>14468</v>
      </c>
      <c r="N133" s="2">
        <v>310</v>
      </c>
      <c r="O133" s="2">
        <v>689</v>
      </c>
      <c r="P133" s="2">
        <v>694</v>
      </c>
      <c r="Q133" s="2">
        <v>298</v>
      </c>
      <c r="R133" s="2">
        <v>316</v>
      </c>
      <c r="S133" s="2">
        <v>241</v>
      </c>
      <c r="T133" s="2">
        <v>27</v>
      </c>
      <c r="U133" s="2">
        <v>63</v>
      </c>
      <c r="V133" s="2">
        <v>115</v>
      </c>
      <c r="W133" s="2">
        <v>2</v>
      </c>
      <c r="X133" s="2">
        <v>24</v>
      </c>
      <c r="Y133" s="2">
        <v>17</v>
      </c>
    </row>
    <row r="134" spans="2:25" s="4" customFormat="1" ht="10.5" customHeight="1">
      <c r="B134" s="6" t="s">
        <v>128</v>
      </c>
      <c r="C134" s="4">
        <f aca="true" t="shared" si="28" ref="C134:I134">C133/30705</f>
        <v>0.03745318352059925</v>
      </c>
      <c r="D134" s="4">
        <f t="shared" si="28"/>
        <v>0.07184497638821039</v>
      </c>
      <c r="E134" s="4">
        <f t="shared" si="28"/>
        <v>0.10727894479726428</v>
      </c>
      <c r="F134" s="4">
        <f t="shared" si="28"/>
        <v>0.03178635401400423</v>
      </c>
      <c r="G134" s="4">
        <f t="shared" si="28"/>
        <v>0.018824295717309883</v>
      </c>
      <c r="H134" s="4">
        <f t="shared" si="28"/>
        <v>0.02732453997720241</v>
      </c>
      <c r="I134" s="4">
        <f t="shared" si="28"/>
        <v>0.7054877055854095</v>
      </c>
      <c r="J134" s="4">
        <f aca="true" t="shared" si="29" ref="J134:Q134">J133/27666</f>
        <v>0.020422178847683076</v>
      </c>
      <c r="K134" s="4">
        <f t="shared" si="29"/>
        <v>0.032241740764837705</v>
      </c>
      <c r="L134" s="4">
        <f t="shared" si="29"/>
        <v>0.3524181305573628</v>
      </c>
      <c r="M134" s="4">
        <f t="shared" si="29"/>
        <v>0.5229523602978385</v>
      </c>
      <c r="N134" s="4">
        <f t="shared" si="29"/>
        <v>0.011205089279259742</v>
      </c>
      <c r="O134" s="4">
        <f t="shared" si="29"/>
        <v>0.02490421455938697</v>
      </c>
      <c r="P134" s="4">
        <f t="shared" si="29"/>
        <v>0.025084941805826648</v>
      </c>
      <c r="Q134" s="4">
        <f t="shared" si="29"/>
        <v>0.010771343887804525</v>
      </c>
      <c r="R134" s="4">
        <f>R133/557</f>
        <v>0.5673249551166966</v>
      </c>
      <c r="S134" s="4">
        <f>S133/557</f>
        <v>0.4326750448833034</v>
      </c>
      <c r="T134" s="4">
        <f>T133/90</f>
        <v>0.3</v>
      </c>
      <c r="U134" s="4">
        <f>U133/90</f>
        <v>0.7</v>
      </c>
      <c r="V134" s="4">
        <f>V133/115</f>
        <v>1</v>
      </c>
      <c r="W134" s="4">
        <f>W133/43</f>
        <v>0.046511627906976744</v>
      </c>
      <c r="X134" s="4">
        <f>X133/43</f>
        <v>0.5581395348837209</v>
      </c>
      <c r="Y134" s="4">
        <f>Y133/43</f>
        <v>0.3953488372093023</v>
      </c>
    </row>
    <row r="135" spans="2:25" ht="10.5" customHeight="1">
      <c r="B135" s="7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0.5" customHeight="1">
      <c r="A136" s="3" t="s">
        <v>94</v>
      </c>
      <c r="B136" s="7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:25" ht="10.5" customHeight="1">
      <c r="B137" s="5" t="s">
        <v>87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</row>
    <row r="138" spans="2:25" ht="10.5" customHeight="1">
      <c r="B138" s="5" t="s">
        <v>91</v>
      </c>
      <c r="C138" s="2">
        <v>923</v>
      </c>
      <c r="D138" s="2">
        <v>1230</v>
      </c>
      <c r="E138" s="2">
        <v>1250</v>
      </c>
      <c r="F138" s="2">
        <v>656</v>
      </c>
      <c r="G138" s="2">
        <v>757</v>
      </c>
      <c r="H138" s="2">
        <v>964</v>
      </c>
      <c r="I138" s="2">
        <v>20259</v>
      </c>
      <c r="J138" s="2">
        <v>633</v>
      </c>
      <c r="K138" s="2">
        <v>624</v>
      </c>
      <c r="L138" s="2">
        <v>13221</v>
      </c>
      <c r="M138" s="2">
        <v>31607</v>
      </c>
      <c r="N138" s="2">
        <v>351</v>
      </c>
      <c r="O138" s="2">
        <v>668</v>
      </c>
      <c r="P138" s="2">
        <v>586</v>
      </c>
      <c r="Q138" s="2">
        <v>399</v>
      </c>
      <c r="R138" s="2">
        <v>384</v>
      </c>
      <c r="S138" s="2">
        <v>340</v>
      </c>
      <c r="T138" s="2">
        <v>35</v>
      </c>
      <c r="U138" s="2">
        <v>91</v>
      </c>
      <c r="V138" s="2">
        <v>268</v>
      </c>
      <c r="W138" s="2">
        <v>7</v>
      </c>
      <c r="X138" s="2">
        <v>20</v>
      </c>
      <c r="Y138" s="2">
        <v>12</v>
      </c>
    </row>
    <row r="139" spans="2:25" ht="10.5" customHeight="1">
      <c r="B139" s="5" t="s">
        <v>92</v>
      </c>
      <c r="C139" s="2">
        <v>470</v>
      </c>
      <c r="D139" s="2">
        <v>605</v>
      </c>
      <c r="E139" s="2">
        <v>739</v>
      </c>
      <c r="F139" s="2">
        <v>378</v>
      </c>
      <c r="G139" s="2">
        <v>327</v>
      </c>
      <c r="H139" s="2">
        <v>417</v>
      </c>
      <c r="I139" s="2">
        <v>7508</v>
      </c>
      <c r="J139" s="2">
        <v>425</v>
      </c>
      <c r="K139" s="2">
        <v>451</v>
      </c>
      <c r="L139" s="2">
        <v>5530</v>
      </c>
      <c r="M139" s="2">
        <v>13591</v>
      </c>
      <c r="N139" s="2">
        <v>297</v>
      </c>
      <c r="O139" s="2">
        <v>367</v>
      </c>
      <c r="P139" s="2">
        <v>1557</v>
      </c>
      <c r="Q139" s="2">
        <v>254</v>
      </c>
      <c r="R139" s="2">
        <v>338</v>
      </c>
      <c r="S139" s="2">
        <v>278</v>
      </c>
      <c r="T139" s="2">
        <v>9</v>
      </c>
      <c r="U139" s="2">
        <v>34</v>
      </c>
      <c r="V139" s="2">
        <v>155</v>
      </c>
      <c r="W139" s="2">
        <v>5</v>
      </c>
      <c r="X139" s="2">
        <v>6</v>
      </c>
      <c r="Y139" s="2">
        <v>8</v>
      </c>
    </row>
    <row r="140" spans="2:25" ht="10.5" customHeight="1">
      <c r="B140" s="5" t="s">
        <v>93</v>
      </c>
      <c r="C140" s="2">
        <v>82</v>
      </c>
      <c r="D140" s="2">
        <v>166</v>
      </c>
      <c r="E140" s="2">
        <v>248</v>
      </c>
      <c r="F140" s="2">
        <v>35</v>
      </c>
      <c r="G140" s="2">
        <v>67</v>
      </c>
      <c r="H140" s="2">
        <v>57</v>
      </c>
      <c r="I140" s="2">
        <v>2569</v>
      </c>
      <c r="J140" s="2">
        <v>28</v>
      </c>
      <c r="K140" s="2">
        <v>69</v>
      </c>
      <c r="L140" s="2">
        <v>802</v>
      </c>
      <c r="M140" s="2">
        <v>2010</v>
      </c>
      <c r="N140" s="2">
        <v>26</v>
      </c>
      <c r="O140" s="2">
        <v>61</v>
      </c>
      <c r="P140" s="2">
        <v>31</v>
      </c>
      <c r="Q140" s="2">
        <v>26</v>
      </c>
      <c r="R140" s="2">
        <v>23</v>
      </c>
      <c r="S140" s="2">
        <v>19</v>
      </c>
      <c r="T140" s="2">
        <v>3</v>
      </c>
      <c r="U140" s="2">
        <v>292</v>
      </c>
      <c r="V140" s="2">
        <v>26</v>
      </c>
      <c r="W140" s="2">
        <v>2</v>
      </c>
      <c r="X140" s="2">
        <v>4</v>
      </c>
      <c r="Y140" s="2">
        <v>0</v>
      </c>
    </row>
    <row r="141" spans="1:25" ht="10.5" customHeight="1">
      <c r="A141" s="3" t="s">
        <v>123</v>
      </c>
      <c r="C141" s="2">
        <v>1475</v>
      </c>
      <c r="D141" s="2">
        <v>2001</v>
      </c>
      <c r="E141" s="2">
        <v>2237</v>
      </c>
      <c r="F141" s="2">
        <v>1069</v>
      </c>
      <c r="G141" s="2">
        <v>1151</v>
      </c>
      <c r="H141" s="2">
        <v>1438</v>
      </c>
      <c r="I141" s="2">
        <v>30336</v>
      </c>
      <c r="J141" s="2">
        <v>1086</v>
      </c>
      <c r="K141" s="2">
        <v>1144</v>
      </c>
      <c r="L141" s="2">
        <v>19553</v>
      </c>
      <c r="M141" s="2">
        <v>47209</v>
      </c>
      <c r="N141" s="2">
        <v>674</v>
      </c>
      <c r="O141" s="2">
        <v>1096</v>
      </c>
      <c r="P141" s="2">
        <v>2174</v>
      </c>
      <c r="Q141" s="2">
        <v>679</v>
      </c>
      <c r="R141" s="2">
        <v>745</v>
      </c>
      <c r="S141" s="2">
        <v>637</v>
      </c>
      <c r="T141" s="2">
        <v>47</v>
      </c>
      <c r="U141" s="2">
        <v>417</v>
      </c>
      <c r="V141" s="2">
        <v>449</v>
      </c>
      <c r="W141" s="2">
        <v>14</v>
      </c>
      <c r="X141" s="2">
        <v>30</v>
      </c>
      <c r="Y141" s="2">
        <v>20</v>
      </c>
    </row>
    <row r="142" spans="2:25" s="4" customFormat="1" ht="10.5" customHeight="1">
      <c r="B142" s="6" t="s">
        <v>128</v>
      </c>
      <c r="C142" s="4">
        <f aca="true" t="shared" si="30" ref="C142:I142">C141/39707</f>
        <v>0.03714710252600297</v>
      </c>
      <c r="D142" s="4">
        <f t="shared" si="30"/>
        <v>0.050394137053919964</v>
      </c>
      <c r="E142" s="4">
        <f t="shared" si="30"/>
        <v>0.05633767345808044</v>
      </c>
      <c r="F142" s="4">
        <f t="shared" si="30"/>
        <v>0.02692220515274385</v>
      </c>
      <c r="G142" s="4">
        <f t="shared" si="30"/>
        <v>0.028987332208426725</v>
      </c>
      <c r="H142" s="4">
        <f t="shared" si="30"/>
        <v>0.036215276903316794</v>
      </c>
      <c r="I142" s="4">
        <f t="shared" si="30"/>
        <v>0.7639962726975092</v>
      </c>
      <c r="J142" s="4">
        <f aca="true" t="shared" si="31" ref="J142:Q142">J141/73615</f>
        <v>0.014752428173605923</v>
      </c>
      <c r="K142" s="4">
        <f t="shared" si="31"/>
        <v>0.015540311077905319</v>
      </c>
      <c r="L142" s="4">
        <f t="shared" si="31"/>
        <v>0.26561162806493244</v>
      </c>
      <c r="M142" s="4">
        <f t="shared" si="31"/>
        <v>0.6412959315356924</v>
      </c>
      <c r="N142" s="4">
        <f t="shared" si="31"/>
        <v>0.009155742715479183</v>
      </c>
      <c r="O142" s="4">
        <f t="shared" si="31"/>
        <v>0.014888270053657542</v>
      </c>
      <c r="P142" s="4">
        <f t="shared" si="31"/>
        <v>0.02953202472322217</v>
      </c>
      <c r="Q142" s="4">
        <f t="shared" si="31"/>
        <v>0.009223663655504992</v>
      </c>
      <c r="R142" s="4">
        <f>R141/1382</f>
        <v>0.5390738060781476</v>
      </c>
      <c r="S142" s="4">
        <f>S141/1382</f>
        <v>0.4609261939218524</v>
      </c>
      <c r="T142" s="4">
        <f>T141/464</f>
        <v>0.10129310344827586</v>
      </c>
      <c r="U142" s="4">
        <f>U141/464</f>
        <v>0.8987068965517241</v>
      </c>
      <c r="V142" s="4">
        <f>V141/449</f>
        <v>1</v>
      </c>
      <c r="W142" s="4">
        <f>W141/64</f>
        <v>0.21875</v>
      </c>
      <c r="X142" s="4">
        <f>X141/64</f>
        <v>0.46875</v>
      </c>
      <c r="Y142" s="4">
        <f>Y141/64</f>
        <v>0.3125</v>
      </c>
    </row>
    <row r="143" spans="2:25" ht="10.5" customHeight="1">
      <c r="B143" s="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0.5" customHeight="1">
      <c r="A144" s="3" t="s">
        <v>96</v>
      </c>
      <c r="B144" s="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2:25" ht="10.5" customHeight="1">
      <c r="B145" s="5" t="s">
        <v>95</v>
      </c>
      <c r="C145" s="2">
        <v>59</v>
      </c>
      <c r="D145" s="2">
        <v>81</v>
      </c>
      <c r="E145" s="2">
        <v>74</v>
      </c>
      <c r="F145" s="2">
        <v>24</v>
      </c>
      <c r="G145" s="2">
        <v>40</v>
      </c>
      <c r="H145" s="2">
        <v>68</v>
      </c>
      <c r="I145" s="2">
        <v>1296</v>
      </c>
      <c r="J145" s="2">
        <v>91</v>
      </c>
      <c r="K145" s="2">
        <v>118</v>
      </c>
      <c r="L145" s="2">
        <v>733</v>
      </c>
      <c r="M145" s="2">
        <v>1574</v>
      </c>
      <c r="N145" s="2">
        <v>47</v>
      </c>
      <c r="O145" s="2">
        <v>96</v>
      </c>
      <c r="P145" s="2">
        <v>44</v>
      </c>
      <c r="Q145" s="2">
        <v>27</v>
      </c>
      <c r="R145" s="2">
        <v>45</v>
      </c>
      <c r="S145" s="2">
        <v>35</v>
      </c>
      <c r="T145" s="2">
        <v>6</v>
      </c>
      <c r="U145" s="2">
        <v>21</v>
      </c>
      <c r="V145" s="2">
        <v>32</v>
      </c>
      <c r="W145" s="2">
        <v>1</v>
      </c>
      <c r="X145" s="2">
        <v>2</v>
      </c>
      <c r="Y145" s="2">
        <v>0</v>
      </c>
    </row>
    <row r="146" spans="2:25" ht="10.5" customHeight="1">
      <c r="B146" s="5" t="s">
        <v>87</v>
      </c>
      <c r="C146" s="2">
        <v>659</v>
      </c>
      <c r="D146" s="2">
        <v>1311</v>
      </c>
      <c r="E146" s="2">
        <v>2015</v>
      </c>
      <c r="F146" s="2">
        <v>461</v>
      </c>
      <c r="G146" s="2">
        <v>490</v>
      </c>
      <c r="H146" s="2">
        <v>998</v>
      </c>
      <c r="I146" s="2">
        <v>15186</v>
      </c>
      <c r="J146" s="2">
        <v>1022</v>
      </c>
      <c r="K146" s="2">
        <v>1389</v>
      </c>
      <c r="L146" s="2">
        <v>18068</v>
      </c>
      <c r="M146" s="2">
        <v>30924</v>
      </c>
      <c r="N146" s="2">
        <v>1011</v>
      </c>
      <c r="O146" s="2">
        <v>1451</v>
      </c>
      <c r="P146" s="2">
        <v>1205</v>
      </c>
      <c r="Q146" s="2">
        <v>412</v>
      </c>
      <c r="R146" s="2">
        <v>472</v>
      </c>
      <c r="S146" s="2">
        <v>332</v>
      </c>
      <c r="T146" s="2">
        <v>22</v>
      </c>
      <c r="U146" s="2">
        <v>74</v>
      </c>
      <c r="V146" s="2">
        <v>284</v>
      </c>
      <c r="W146" s="2">
        <v>10</v>
      </c>
      <c r="X146" s="2">
        <v>14</v>
      </c>
      <c r="Y146" s="2">
        <v>13</v>
      </c>
    </row>
    <row r="147" spans="2:25" ht="10.5" customHeight="1">
      <c r="B147" s="5" t="s">
        <v>92</v>
      </c>
      <c r="C147" s="2">
        <v>247</v>
      </c>
      <c r="D147" s="2">
        <v>332</v>
      </c>
      <c r="E147" s="2">
        <v>378</v>
      </c>
      <c r="F147" s="2">
        <v>122</v>
      </c>
      <c r="G147" s="2">
        <v>210</v>
      </c>
      <c r="H147" s="2">
        <v>253</v>
      </c>
      <c r="I147" s="2">
        <v>3902</v>
      </c>
      <c r="J147" s="2">
        <v>208</v>
      </c>
      <c r="K147" s="2">
        <v>290</v>
      </c>
      <c r="L147" s="2">
        <v>2144</v>
      </c>
      <c r="M147" s="2">
        <v>5256</v>
      </c>
      <c r="N147" s="2">
        <v>179</v>
      </c>
      <c r="O147" s="2">
        <v>223</v>
      </c>
      <c r="P147" s="2">
        <v>445</v>
      </c>
      <c r="Q147" s="2">
        <v>128</v>
      </c>
      <c r="R147" s="2">
        <v>226</v>
      </c>
      <c r="S147" s="2">
        <v>177</v>
      </c>
      <c r="T147" s="2">
        <v>9</v>
      </c>
      <c r="U147" s="2">
        <v>28</v>
      </c>
      <c r="V147" s="2">
        <v>95</v>
      </c>
      <c r="W147" s="2">
        <v>0</v>
      </c>
      <c r="X147" s="2">
        <v>7</v>
      </c>
      <c r="Y147" s="2">
        <v>8</v>
      </c>
    </row>
    <row r="148" spans="2:25" ht="10.5" customHeight="1">
      <c r="B148" s="5" t="s">
        <v>89</v>
      </c>
      <c r="C148" s="2">
        <v>294</v>
      </c>
      <c r="D148" s="2">
        <v>704</v>
      </c>
      <c r="E148" s="2">
        <v>935</v>
      </c>
      <c r="F148" s="2">
        <v>169</v>
      </c>
      <c r="G148" s="2">
        <v>238</v>
      </c>
      <c r="H148" s="2">
        <v>465</v>
      </c>
      <c r="I148" s="2">
        <v>7335</v>
      </c>
      <c r="J148" s="2">
        <v>270</v>
      </c>
      <c r="K148" s="2">
        <v>619</v>
      </c>
      <c r="L148" s="2">
        <v>7565</v>
      </c>
      <c r="M148" s="2">
        <v>13934</v>
      </c>
      <c r="N148" s="2">
        <v>219</v>
      </c>
      <c r="O148" s="2">
        <v>397</v>
      </c>
      <c r="P148" s="2">
        <v>341</v>
      </c>
      <c r="Q148" s="2">
        <v>192</v>
      </c>
      <c r="R148" s="2">
        <v>165</v>
      </c>
      <c r="S148" s="2">
        <v>159</v>
      </c>
      <c r="T148" s="2">
        <v>19</v>
      </c>
      <c r="U148" s="2">
        <v>55</v>
      </c>
      <c r="V148" s="2">
        <v>87</v>
      </c>
      <c r="W148" s="2">
        <v>6</v>
      </c>
      <c r="X148" s="2">
        <v>5</v>
      </c>
      <c r="Y148" s="2">
        <v>8</v>
      </c>
    </row>
    <row r="149" spans="1:25" ht="10.5" customHeight="1">
      <c r="A149" s="3" t="s">
        <v>123</v>
      </c>
      <c r="C149" s="2">
        <v>1259</v>
      </c>
      <c r="D149" s="2">
        <v>2428</v>
      </c>
      <c r="E149" s="2">
        <v>3402</v>
      </c>
      <c r="F149" s="2">
        <v>776</v>
      </c>
      <c r="G149" s="2">
        <v>978</v>
      </c>
      <c r="H149" s="2">
        <v>1784</v>
      </c>
      <c r="I149" s="2">
        <v>27719</v>
      </c>
      <c r="J149" s="2">
        <v>1591</v>
      </c>
      <c r="K149" s="2">
        <v>2416</v>
      </c>
      <c r="L149" s="2">
        <v>28510</v>
      </c>
      <c r="M149" s="2">
        <v>51688</v>
      </c>
      <c r="N149" s="2">
        <v>1456</v>
      </c>
      <c r="O149" s="2">
        <v>2167</v>
      </c>
      <c r="P149" s="2">
        <v>2035</v>
      </c>
      <c r="Q149" s="2">
        <v>759</v>
      </c>
      <c r="R149" s="2">
        <v>908</v>
      </c>
      <c r="S149" s="2">
        <v>703</v>
      </c>
      <c r="T149" s="2">
        <v>56</v>
      </c>
      <c r="U149" s="2">
        <v>178</v>
      </c>
      <c r="V149" s="2">
        <v>498</v>
      </c>
      <c r="W149" s="2">
        <v>17</v>
      </c>
      <c r="X149" s="2">
        <v>28</v>
      </c>
      <c r="Y149" s="2">
        <v>29</v>
      </c>
    </row>
    <row r="150" spans="2:25" s="4" customFormat="1" ht="10.5" customHeight="1">
      <c r="B150" s="6" t="s">
        <v>128</v>
      </c>
      <c r="C150" s="4">
        <f aca="true" t="shared" si="32" ref="C150:I150">C149/38346</f>
        <v>0.032832629218171386</v>
      </c>
      <c r="D150" s="4">
        <f t="shared" si="32"/>
        <v>0.06331820789652115</v>
      </c>
      <c r="E150" s="4">
        <f t="shared" si="32"/>
        <v>0.0887185104052574</v>
      </c>
      <c r="F150" s="4">
        <f t="shared" si="32"/>
        <v>0.02023679132112867</v>
      </c>
      <c r="G150" s="4">
        <f t="shared" si="32"/>
        <v>0.02550461586606165</v>
      </c>
      <c r="H150" s="4">
        <f t="shared" si="32"/>
        <v>0.04652375736713086</v>
      </c>
      <c r="I150" s="4">
        <f t="shared" si="32"/>
        <v>0.7228654879257289</v>
      </c>
      <c r="J150" s="4">
        <f aca="true" t="shared" si="33" ref="J150:Q150">J149/90622</f>
        <v>0.017556443247776478</v>
      </c>
      <c r="K150" s="4">
        <f t="shared" si="33"/>
        <v>0.026660192889143917</v>
      </c>
      <c r="L150" s="4">
        <f t="shared" si="33"/>
        <v>0.3146035179095584</v>
      </c>
      <c r="M150" s="4">
        <f t="shared" si="33"/>
        <v>0.5703692260157578</v>
      </c>
      <c r="N150" s="4">
        <f t="shared" si="33"/>
        <v>0.01606673876100726</v>
      </c>
      <c r="O150" s="4">
        <f t="shared" si="33"/>
        <v>0.02391251572465847</v>
      </c>
      <c r="P150" s="4">
        <f t="shared" si="33"/>
        <v>0.022455915782039683</v>
      </c>
      <c r="Q150" s="4">
        <f t="shared" si="33"/>
        <v>0.008375449670058044</v>
      </c>
      <c r="R150" s="4">
        <f>R149/1611</f>
        <v>0.563625077591558</v>
      </c>
      <c r="S150" s="4">
        <f>S149/1611</f>
        <v>0.43637492240844195</v>
      </c>
      <c r="T150" s="4">
        <f>T149/234</f>
        <v>0.23931623931623933</v>
      </c>
      <c r="U150" s="4">
        <f>U149/234</f>
        <v>0.7606837606837606</v>
      </c>
      <c r="V150" s="4">
        <f>V149/498</f>
        <v>1</v>
      </c>
      <c r="W150" s="4">
        <f>W149/74</f>
        <v>0.22972972972972974</v>
      </c>
      <c r="X150" s="4">
        <f>X149/74</f>
        <v>0.3783783783783784</v>
      </c>
      <c r="Y150" s="4">
        <f>Y149/74</f>
        <v>0.3918918918918919</v>
      </c>
    </row>
    <row r="151" spans="2:25" ht="10.5" customHeight="1">
      <c r="B151" s="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0.5" customHeight="1">
      <c r="A152" s="3" t="s">
        <v>97</v>
      </c>
      <c r="B152" s="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2:25" ht="10.5" customHeight="1">
      <c r="B153" s="5" t="s">
        <v>91</v>
      </c>
      <c r="C153" s="2">
        <v>89</v>
      </c>
      <c r="D153" s="2">
        <v>122</v>
      </c>
      <c r="E153" s="2">
        <v>86</v>
      </c>
      <c r="F153" s="2">
        <v>75</v>
      </c>
      <c r="G153" s="2">
        <v>62</v>
      </c>
      <c r="H153" s="2">
        <v>109</v>
      </c>
      <c r="I153" s="2">
        <v>2413</v>
      </c>
      <c r="J153" s="2">
        <v>73</v>
      </c>
      <c r="K153" s="2">
        <v>62</v>
      </c>
      <c r="L153" s="2">
        <v>1791</v>
      </c>
      <c r="M153" s="2">
        <v>4680</v>
      </c>
      <c r="N153" s="2">
        <v>43</v>
      </c>
      <c r="O153" s="2">
        <v>91</v>
      </c>
      <c r="P153" s="2">
        <v>55</v>
      </c>
      <c r="Q153" s="2">
        <v>58</v>
      </c>
      <c r="R153" s="2">
        <v>46</v>
      </c>
      <c r="S153" s="2">
        <v>30</v>
      </c>
      <c r="T153" s="2">
        <v>2</v>
      </c>
      <c r="U153" s="2">
        <v>13</v>
      </c>
      <c r="V153" s="2">
        <v>25</v>
      </c>
      <c r="W153" s="2">
        <v>1</v>
      </c>
      <c r="X153" s="2">
        <v>3</v>
      </c>
      <c r="Y153" s="2">
        <v>2</v>
      </c>
    </row>
    <row r="154" spans="2:25" ht="10.5" customHeight="1">
      <c r="B154" s="5" t="s">
        <v>85</v>
      </c>
      <c r="C154" s="2">
        <v>434</v>
      </c>
      <c r="D154" s="2">
        <v>866</v>
      </c>
      <c r="E154" s="2">
        <v>815</v>
      </c>
      <c r="F154" s="2">
        <v>275</v>
      </c>
      <c r="G154" s="2">
        <v>426</v>
      </c>
      <c r="H154" s="2">
        <v>602</v>
      </c>
      <c r="I154" s="2">
        <v>25870</v>
      </c>
      <c r="J154" s="2">
        <v>313</v>
      </c>
      <c r="K154" s="2">
        <v>420</v>
      </c>
      <c r="L154" s="2">
        <v>6653</v>
      </c>
      <c r="M154" s="2">
        <v>18931</v>
      </c>
      <c r="N154" s="2">
        <v>242</v>
      </c>
      <c r="O154" s="2">
        <v>395</v>
      </c>
      <c r="P154" s="2">
        <v>269</v>
      </c>
      <c r="Q154" s="2">
        <v>282</v>
      </c>
      <c r="R154" s="2">
        <v>191</v>
      </c>
      <c r="S154" s="2">
        <v>142</v>
      </c>
      <c r="T154" s="2">
        <v>54</v>
      </c>
      <c r="U154" s="2">
        <v>255</v>
      </c>
      <c r="V154" s="2">
        <v>221</v>
      </c>
      <c r="W154" s="2">
        <v>5</v>
      </c>
      <c r="X154" s="2">
        <v>14</v>
      </c>
      <c r="Y154" s="2">
        <v>17</v>
      </c>
    </row>
    <row r="155" spans="2:25" ht="10.5" customHeight="1">
      <c r="B155" s="5" t="s">
        <v>93</v>
      </c>
      <c r="C155" s="2">
        <v>1201</v>
      </c>
      <c r="D155" s="2">
        <v>1378</v>
      </c>
      <c r="E155" s="2">
        <v>1446</v>
      </c>
      <c r="F155" s="2">
        <v>540</v>
      </c>
      <c r="G155" s="2">
        <v>792</v>
      </c>
      <c r="H155" s="2">
        <v>1023</v>
      </c>
      <c r="I155" s="2">
        <v>34188</v>
      </c>
      <c r="J155" s="2">
        <v>542</v>
      </c>
      <c r="K155" s="2">
        <v>648</v>
      </c>
      <c r="L155" s="2">
        <v>17522</v>
      </c>
      <c r="M155" s="2">
        <v>44414</v>
      </c>
      <c r="N155" s="2">
        <v>538</v>
      </c>
      <c r="O155" s="2">
        <v>825</v>
      </c>
      <c r="P155" s="2">
        <v>589</v>
      </c>
      <c r="Q155" s="2">
        <v>444</v>
      </c>
      <c r="R155" s="2">
        <v>461</v>
      </c>
      <c r="S155" s="2">
        <v>307</v>
      </c>
      <c r="T155" s="2">
        <v>66</v>
      </c>
      <c r="U155" s="2">
        <v>21</v>
      </c>
      <c r="V155" s="2">
        <v>413</v>
      </c>
      <c r="W155" s="2">
        <v>3</v>
      </c>
      <c r="X155" s="2">
        <v>21</v>
      </c>
      <c r="Y155" s="2">
        <v>21</v>
      </c>
    </row>
    <row r="156" spans="1:25" ht="10.5" customHeight="1">
      <c r="A156" s="3" t="s">
        <v>123</v>
      </c>
      <c r="C156" s="2">
        <v>1724</v>
      </c>
      <c r="D156" s="2">
        <v>2366</v>
      </c>
      <c r="E156" s="2">
        <v>2347</v>
      </c>
      <c r="F156" s="2">
        <v>890</v>
      </c>
      <c r="G156" s="2">
        <v>1280</v>
      </c>
      <c r="H156" s="2">
        <v>1734</v>
      </c>
      <c r="I156" s="2">
        <v>62471</v>
      </c>
      <c r="J156" s="2">
        <v>928</v>
      </c>
      <c r="K156" s="2">
        <v>1130</v>
      </c>
      <c r="L156" s="2">
        <v>25966</v>
      </c>
      <c r="M156" s="2">
        <v>68025</v>
      </c>
      <c r="N156" s="2">
        <v>823</v>
      </c>
      <c r="O156" s="2">
        <v>1311</v>
      </c>
      <c r="P156" s="2">
        <v>913</v>
      </c>
      <c r="Q156" s="2">
        <v>784</v>
      </c>
      <c r="R156" s="2">
        <v>698</v>
      </c>
      <c r="S156" s="2">
        <v>479</v>
      </c>
      <c r="T156" s="2">
        <v>122</v>
      </c>
      <c r="U156" s="2">
        <v>289</v>
      </c>
      <c r="V156" s="2">
        <v>659</v>
      </c>
      <c r="W156" s="2">
        <v>9</v>
      </c>
      <c r="X156" s="2">
        <v>38</v>
      </c>
      <c r="Y156" s="2">
        <v>40</v>
      </c>
    </row>
    <row r="157" spans="2:25" s="4" customFormat="1" ht="10.5" customHeight="1">
      <c r="B157" s="6" t="s">
        <v>128</v>
      </c>
      <c r="C157" s="4">
        <f aca="true" t="shared" si="34" ref="C157:I157">C156/72812</f>
        <v>0.023677415810580672</v>
      </c>
      <c r="D157" s="4">
        <f t="shared" si="34"/>
        <v>0.03249464374004285</v>
      </c>
      <c r="E157" s="4">
        <f t="shared" si="34"/>
        <v>0.03223369774213042</v>
      </c>
      <c r="F157" s="4">
        <f t="shared" si="34"/>
        <v>0.01222325990221392</v>
      </c>
      <c r="G157" s="4">
        <f t="shared" si="34"/>
        <v>0.017579519859363842</v>
      </c>
      <c r="H157" s="4">
        <f t="shared" si="34"/>
        <v>0.023814755809481954</v>
      </c>
      <c r="I157" s="4">
        <f t="shared" si="34"/>
        <v>0.8579767071361863</v>
      </c>
      <c r="J157" s="4">
        <f aca="true" t="shared" si="35" ref="J157:Q157">J156/99880</f>
        <v>0.009291149379255107</v>
      </c>
      <c r="K157" s="4">
        <f t="shared" si="35"/>
        <v>0.01131357629154986</v>
      </c>
      <c r="L157" s="4">
        <f t="shared" si="35"/>
        <v>0.25997196635963155</v>
      </c>
      <c r="M157" s="4">
        <f t="shared" si="35"/>
        <v>0.6810672807368843</v>
      </c>
      <c r="N157" s="4">
        <f t="shared" si="35"/>
        <v>0.008239887865438526</v>
      </c>
      <c r="O157" s="4">
        <f t="shared" si="35"/>
        <v>0.013125750901081298</v>
      </c>
      <c r="P157" s="4">
        <f t="shared" si="35"/>
        <v>0.009140969162995595</v>
      </c>
      <c r="Q157" s="4">
        <f t="shared" si="35"/>
        <v>0.007849419303163796</v>
      </c>
      <c r="R157" s="4">
        <f>R156/1177</f>
        <v>0.5930331350892099</v>
      </c>
      <c r="S157" s="4">
        <f>S156/1177</f>
        <v>0.40696686491079015</v>
      </c>
      <c r="T157" s="4">
        <f>T156/411</f>
        <v>0.29683698296836986</v>
      </c>
      <c r="U157" s="4">
        <f>U156/411</f>
        <v>0.7031630170316302</v>
      </c>
      <c r="V157" s="4">
        <f>V156/659</f>
        <v>1</v>
      </c>
      <c r="W157" s="4">
        <f>W156/87</f>
        <v>0.10344827586206896</v>
      </c>
      <c r="X157" s="4">
        <f>X156/87</f>
        <v>0.4367816091954023</v>
      </c>
      <c r="Y157" s="4">
        <f>Y156/87</f>
        <v>0.45977011494252873</v>
      </c>
    </row>
    <row r="158" spans="2:25" ht="10.5" customHeight="1">
      <c r="B158" s="7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0.5" customHeight="1">
      <c r="A159" s="3" t="s">
        <v>98</v>
      </c>
      <c r="B159" s="7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2:25" ht="10.5" customHeight="1">
      <c r="B160" s="5" t="s">
        <v>91</v>
      </c>
      <c r="C160" s="2">
        <v>899</v>
      </c>
      <c r="D160" s="2">
        <v>2199</v>
      </c>
      <c r="E160" s="2">
        <v>2099</v>
      </c>
      <c r="F160" s="2">
        <v>702</v>
      </c>
      <c r="G160" s="2">
        <v>568</v>
      </c>
      <c r="H160" s="2">
        <v>761</v>
      </c>
      <c r="I160" s="2">
        <v>22724</v>
      </c>
      <c r="J160" s="2">
        <v>280</v>
      </c>
      <c r="K160" s="2">
        <v>313</v>
      </c>
      <c r="L160" s="2">
        <v>4682</v>
      </c>
      <c r="M160" s="2">
        <v>11630</v>
      </c>
      <c r="N160" s="2">
        <v>272</v>
      </c>
      <c r="O160" s="2">
        <v>332</v>
      </c>
      <c r="P160" s="2">
        <v>407</v>
      </c>
      <c r="Q160" s="2">
        <v>266</v>
      </c>
      <c r="R160" s="2">
        <v>278</v>
      </c>
      <c r="S160" s="2">
        <v>222</v>
      </c>
      <c r="T160" s="2">
        <v>65</v>
      </c>
      <c r="U160" s="2">
        <v>126</v>
      </c>
      <c r="V160" s="2">
        <v>165</v>
      </c>
      <c r="W160" s="2">
        <v>12</v>
      </c>
      <c r="X160" s="2">
        <v>33</v>
      </c>
      <c r="Y160" s="2">
        <v>25</v>
      </c>
    </row>
    <row r="161" spans="1:25" ht="10.5" customHeight="1">
      <c r="A161" s="3" t="s">
        <v>123</v>
      </c>
      <c r="C161" s="2">
        <v>899</v>
      </c>
      <c r="D161" s="2">
        <v>2199</v>
      </c>
      <c r="E161" s="2">
        <v>2099</v>
      </c>
      <c r="F161" s="2">
        <v>702</v>
      </c>
      <c r="G161" s="2">
        <v>568</v>
      </c>
      <c r="H161" s="2">
        <v>761</v>
      </c>
      <c r="I161" s="2">
        <v>22724</v>
      </c>
      <c r="J161" s="2">
        <v>280</v>
      </c>
      <c r="K161" s="2">
        <v>313</v>
      </c>
      <c r="L161" s="2">
        <v>4682</v>
      </c>
      <c r="M161" s="2">
        <v>11630</v>
      </c>
      <c r="N161" s="2">
        <v>272</v>
      </c>
      <c r="O161" s="2">
        <v>332</v>
      </c>
      <c r="P161" s="2">
        <v>407</v>
      </c>
      <c r="Q161" s="2">
        <v>266</v>
      </c>
      <c r="R161" s="2">
        <v>278</v>
      </c>
      <c r="S161" s="2">
        <v>222</v>
      </c>
      <c r="T161" s="2">
        <v>65</v>
      </c>
      <c r="U161" s="2">
        <v>126</v>
      </c>
      <c r="V161" s="2">
        <v>165</v>
      </c>
      <c r="W161" s="2">
        <v>12</v>
      </c>
      <c r="X161" s="2">
        <v>33</v>
      </c>
      <c r="Y161" s="2">
        <v>25</v>
      </c>
    </row>
    <row r="162" spans="2:25" s="4" customFormat="1" ht="10.5" customHeight="1">
      <c r="B162" s="6" t="s">
        <v>128</v>
      </c>
      <c r="C162" s="4">
        <f aca="true" t="shared" si="36" ref="C162:I162">C161/29952</f>
        <v>0.030014690170940172</v>
      </c>
      <c r="D162" s="4">
        <f t="shared" si="36"/>
        <v>0.07341746794871795</v>
      </c>
      <c r="E162" s="4">
        <f t="shared" si="36"/>
        <v>0.07007879273504274</v>
      </c>
      <c r="F162" s="4">
        <f t="shared" si="36"/>
        <v>0.0234375</v>
      </c>
      <c r="G162" s="4">
        <f t="shared" si="36"/>
        <v>0.018963675213675212</v>
      </c>
      <c r="H162" s="4">
        <f t="shared" si="36"/>
        <v>0.025407318376068376</v>
      </c>
      <c r="I162" s="4">
        <f t="shared" si="36"/>
        <v>0.7586805555555556</v>
      </c>
      <c r="J162" s="4">
        <f aca="true" t="shared" si="37" ref="J162:Q162">J161/18182</f>
        <v>0.015399846001539985</v>
      </c>
      <c r="K162" s="4">
        <f t="shared" si="37"/>
        <v>0.017214827851721484</v>
      </c>
      <c r="L162" s="4">
        <f t="shared" si="37"/>
        <v>0.25750742492575074</v>
      </c>
      <c r="M162" s="4">
        <f t="shared" si="37"/>
        <v>0.6396436035639643</v>
      </c>
      <c r="N162" s="4">
        <f t="shared" si="37"/>
        <v>0.014959850401495984</v>
      </c>
      <c r="O162" s="4">
        <f t="shared" si="37"/>
        <v>0.018259817401825983</v>
      </c>
      <c r="P162" s="4">
        <f t="shared" si="37"/>
        <v>0.022384776152238477</v>
      </c>
      <c r="Q162" s="4">
        <f t="shared" si="37"/>
        <v>0.014629853701462985</v>
      </c>
      <c r="R162" s="4">
        <f>R161/500</f>
        <v>0.556</v>
      </c>
      <c r="S162" s="4">
        <f>S161/500</f>
        <v>0.444</v>
      </c>
      <c r="T162" s="4">
        <f>T161/191</f>
        <v>0.3403141361256545</v>
      </c>
      <c r="U162" s="4">
        <f>U161/191</f>
        <v>0.6596858638743456</v>
      </c>
      <c r="V162" s="4">
        <f>V161/165</f>
        <v>1</v>
      </c>
      <c r="W162" s="4">
        <f>W161/70</f>
        <v>0.17142857142857143</v>
      </c>
      <c r="X162" s="4">
        <f>X161/70</f>
        <v>0.4714285714285714</v>
      </c>
      <c r="Y162" s="4">
        <f>Y161/70</f>
        <v>0.35714285714285715</v>
      </c>
    </row>
    <row r="163" spans="2:25" ht="10.5" customHeight="1">
      <c r="B163" s="7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0.5" customHeight="1">
      <c r="A164" s="3" t="s">
        <v>99</v>
      </c>
      <c r="B164" s="7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2:25" ht="10.5" customHeight="1">
      <c r="B165" s="5" t="s">
        <v>91</v>
      </c>
      <c r="C165" s="2">
        <v>1245</v>
      </c>
      <c r="D165" s="2">
        <v>1651</v>
      </c>
      <c r="E165" s="2">
        <v>1359</v>
      </c>
      <c r="F165" s="2">
        <v>857</v>
      </c>
      <c r="G165" s="2">
        <v>1033</v>
      </c>
      <c r="H165" s="2">
        <v>1006</v>
      </c>
      <c r="I165" s="2">
        <v>47462</v>
      </c>
      <c r="J165" s="2">
        <v>509</v>
      </c>
      <c r="K165" s="2">
        <v>535</v>
      </c>
      <c r="L165" s="2">
        <v>9926</v>
      </c>
      <c r="M165" s="2">
        <v>29438</v>
      </c>
      <c r="N165" s="2">
        <v>358</v>
      </c>
      <c r="O165" s="2">
        <v>642</v>
      </c>
      <c r="P165" s="2">
        <v>463</v>
      </c>
      <c r="Q165" s="2">
        <v>597</v>
      </c>
      <c r="R165" s="2">
        <v>335</v>
      </c>
      <c r="S165" s="2">
        <v>250</v>
      </c>
      <c r="T165" s="2">
        <v>96</v>
      </c>
      <c r="U165" s="2">
        <v>312</v>
      </c>
      <c r="V165" s="2">
        <v>325</v>
      </c>
      <c r="W165" s="2">
        <v>18</v>
      </c>
      <c r="X165" s="2">
        <v>45</v>
      </c>
      <c r="Y165" s="2">
        <v>38</v>
      </c>
    </row>
    <row r="166" spans="1:25" ht="10.5" customHeight="1">
      <c r="A166" s="3" t="s">
        <v>123</v>
      </c>
      <c r="C166" s="2">
        <v>1245</v>
      </c>
      <c r="D166" s="2">
        <v>1651</v>
      </c>
      <c r="E166" s="2">
        <v>1359</v>
      </c>
      <c r="F166" s="2">
        <v>857</v>
      </c>
      <c r="G166" s="2">
        <v>1033</v>
      </c>
      <c r="H166" s="2">
        <v>1006</v>
      </c>
      <c r="I166" s="2">
        <v>47462</v>
      </c>
      <c r="J166" s="2">
        <v>509</v>
      </c>
      <c r="K166" s="2">
        <v>535</v>
      </c>
      <c r="L166" s="2">
        <v>9926</v>
      </c>
      <c r="M166" s="2">
        <v>29438</v>
      </c>
      <c r="N166" s="2">
        <v>358</v>
      </c>
      <c r="O166" s="2">
        <v>642</v>
      </c>
      <c r="P166" s="2">
        <v>463</v>
      </c>
      <c r="Q166" s="2">
        <v>597</v>
      </c>
      <c r="R166" s="2">
        <v>335</v>
      </c>
      <c r="S166" s="2">
        <v>250</v>
      </c>
      <c r="T166" s="2">
        <v>96</v>
      </c>
      <c r="U166" s="2">
        <v>312</v>
      </c>
      <c r="V166" s="2">
        <v>325</v>
      </c>
      <c r="W166" s="2">
        <v>18</v>
      </c>
      <c r="X166" s="2">
        <v>45</v>
      </c>
      <c r="Y166" s="2">
        <v>38</v>
      </c>
    </row>
    <row r="167" spans="2:25" s="4" customFormat="1" ht="10.5" customHeight="1">
      <c r="B167" s="6" t="s">
        <v>128</v>
      </c>
      <c r="C167" s="4">
        <f aca="true" t="shared" si="38" ref="C167:I167">C166/54613</f>
        <v>0.022796769999816894</v>
      </c>
      <c r="D167" s="4">
        <f t="shared" si="38"/>
        <v>0.03023089740537967</v>
      </c>
      <c r="E167" s="4">
        <f t="shared" si="38"/>
        <v>0.024884185084137478</v>
      </c>
      <c r="F167" s="4">
        <f t="shared" si="38"/>
        <v>0.015692234449673156</v>
      </c>
      <c r="G167" s="4">
        <f t="shared" si="38"/>
        <v>0.018914910369325983</v>
      </c>
      <c r="H167" s="4">
        <f t="shared" si="38"/>
        <v>0.018420522586197426</v>
      </c>
      <c r="I167" s="4">
        <f t="shared" si="38"/>
        <v>0.8690604801054694</v>
      </c>
      <c r="J167" s="4">
        <f aca="true" t="shared" si="39" ref="J167:Q167">J166/42468</f>
        <v>0.011985494960911745</v>
      </c>
      <c r="K167" s="4">
        <f t="shared" si="39"/>
        <v>0.012597720636714703</v>
      </c>
      <c r="L167" s="4">
        <f t="shared" si="39"/>
        <v>0.23372892530846756</v>
      </c>
      <c r="M167" s="4">
        <f t="shared" si="39"/>
        <v>0.6931807478572102</v>
      </c>
      <c r="N167" s="4">
        <f t="shared" si="39"/>
        <v>0.008429876612979184</v>
      </c>
      <c r="O167" s="4">
        <f t="shared" si="39"/>
        <v>0.015117264764057644</v>
      </c>
      <c r="P167" s="4">
        <f t="shared" si="39"/>
        <v>0.010902326457568052</v>
      </c>
      <c r="Q167" s="4">
        <f t="shared" si="39"/>
        <v>0.014057643402090985</v>
      </c>
      <c r="R167" s="4">
        <f>R166/585</f>
        <v>0.5726495726495726</v>
      </c>
      <c r="S167" s="4">
        <f>S166/585</f>
        <v>0.42735042735042733</v>
      </c>
      <c r="T167" s="4">
        <f>T166/408</f>
        <v>0.23529411764705882</v>
      </c>
      <c r="U167" s="4">
        <f>U166/408</f>
        <v>0.7647058823529411</v>
      </c>
      <c r="V167" s="4">
        <f>V166/325</f>
        <v>1</v>
      </c>
      <c r="W167" s="4">
        <f>W166/101</f>
        <v>0.1782178217821782</v>
      </c>
      <c r="X167" s="4">
        <f>X166/101</f>
        <v>0.44554455445544555</v>
      </c>
      <c r="Y167" s="4">
        <f>Y166/101</f>
        <v>0.37623762376237624</v>
      </c>
    </row>
    <row r="168" spans="2:25" ht="10.5" customHeight="1">
      <c r="B168" s="7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0.5" customHeight="1">
      <c r="A169" s="3" t="s">
        <v>100</v>
      </c>
      <c r="B169" s="7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2:25" ht="10.5" customHeight="1">
      <c r="B170" s="5" t="s">
        <v>91</v>
      </c>
      <c r="C170" s="2">
        <v>756</v>
      </c>
      <c r="D170" s="2">
        <v>1925</v>
      </c>
      <c r="E170" s="2">
        <v>2008</v>
      </c>
      <c r="F170" s="2">
        <v>834</v>
      </c>
      <c r="G170" s="2">
        <v>556</v>
      </c>
      <c r="H170" s="2">
        <v>559</v>
      </c>
      <c r="I170" s="2">
        <v>22139</v>
      </c>
      <c r="J170" s="2">
        <v>199</v>
      </c>
      <c r="K170" s="2">
        <v>251</v>
      </c>
      <c r="L170" s="2">
        <v>2379</v>
      </c>
      <c r="M170" s="2">
        <v>6296</v>
      </c>
      <c r="N170" s="2">
        <v>196</v>
      </c>
      <c r="O170" s="2">
        <v>254</v>
      </c>
      <c r="P170" s="2">
        <v>191</v>
      </c>
      <c r="Q170" s="2">
        <v>153</v>
      </c>
      <c r="R170" s="2">
        <v>156</v>
      </c>
      <c r="S170" s="2">
        <v>103</v>
      </c>
      <c r="T170" s="2">
        <v>59</v>
      </c>
      <c r="U170" s="2">
        <v>156</v>
      </c>
      <c r="V170" s="2">
        <v>94</v>
      </c>
      <c r="W170" s="2">
        <v>10</v>
      </c>
      <c r="X170" s="2">
        <v>55</v>
      </c>
      <c r="Y170" s="2">
        <v>28</v>
      </c>
    </row>
    <row r="171" spans="1:25" ht="10.5" customHeight="1">
      <c r="A171" s="3" t="s">
        <v>123</v>
      </c>
      <c r="C171" s="2">
        <v>756</v>
      </c>
      <c r="D171" s="2">
        <v>1925</v>
      </c>
      <c r="E171" s="2">
        <v>2008</v>
      </c>
      <c r="F171" s="2">
        <v>834</v>
      </c>
      <c r="G171" s="2">
        <v>556</v>
      </c>
      <c r="H171" s="2">
        <v>559</v>
      </c>
      <c r="I171" s="2">
        <v>22139</v>
      </c>
      <c r="J171" s="2">
        <v>199</v>
      </c>
      <c r="K171" s="2">
        <v>251</v>
      </c>
      <c r="L171" s="2">
        <v>2379</v>
      </c>
      <c r="M171" s="2">
        <v>6296</v>
      </c>
      <c r="N171" s="2">
        <v>196</v>
      </c>
      <c r="O171" s="2">
        <v>254</v>
      </c>
      <c r="P171" s="2">
        <v>191</v>
      </c>
      <c r="Q171" s="2">
        <v>153</v>
      </c>
      <c r="R171" s="2">
        <v>156</v>
      </c>
      <c r="S171" s="2">
        <v>103</v>
      </c>
      <c r="T171" s="2">
        <v>59</v>
      </c>
      <c r="U171" s="2">
        <v>156</v>
      </c>
      <c r="V171" s="2">
        <v>94</v>
      </c>
      <c r="W171" s="2">
        <v>10</v>
      </c>
      <c r="X171" s="2">
        <v>55</v>
      </c>
      <c r="Y171" s="2">
        <v>28</v>
      </c>
    </row>
    <row r="172" spans="2:25" s="4" customFormat="1" ht="10.5" customHeight="1">
      <c r="B172" s="6" t="s">
        <v>128</v>
      </c>
      <c r="C172" s="4">
        <f aca="true" t="shared" si="40" ref="C172:I172">C171/28777</f>
        <v>0.02627098029676478</v>
      </c>
      <c r="D172" s="4">
        <f t="shared" si="40"/>
        <v>0.06689369982972512</v>
      </c>
      <c r="E172" s="4">
        <f t="shared" si="40"/>
        <v>0.06977794766653925</v>
      </c>
      <c r="F172" s="4">
        <f t="shared" si="40"/>
        <v>0.028981478263891303</v>
      </c>
      <c r="G172" s="4">
        <f t="shared" si="40"/>
        <v>0.01932098550926087</v>
      </c>
      <c r="H172" s="4">
        <f t="shared" si="40"/>
        <v>0.019425235431073426</v>
      </c>
      <c r="I172" s="4">
        <f t="shared" si="40"/>
        <v>0.7693296730027452</v>
      </c>
      <c r="J172" s="4">
        <f aca="true" t="shared" si="41" ref="J172:Q172">J171/9919</f>
        <v>0.02006250630103841</v>
      </c>
      <c r="K172" s="4">
        <f t="shared" si="41"/>
        <v>0.0253049702590987</v>
      </c>
      <c r="L172" s="4">
        <f t="shared" si="41"/>
        <v>0.2398427260812582</v>
      </c>
      <c r="M172" s="4">
        <f t="shared" si="41"/>
        <v>0.6347414053836072</v>
      </c>
      <c r="N172" s="4">
        <f t="shared" si="41"/>
        <v>0.019760056457304165</v>
      </c>
      <c r="O172" s="4">
        <f t="shared" si="41"/>
        <v>0.025607420102832946</v>
      </c>
      <c r="P172" s="4">
        <f t="shared" si="41"/>
        <v>0.01925597338441375</v>
      </c>
      <c r="Q172" s="4">
        <f t="shared" si="41"/>
        <v>0.015424942030446618</v>
      </c>
      <c r="R172" s="4">
        <f>R171/259</f>
        <v>0.6023166023166023</v>
      </c>
      <c r="S172" s="4">
        <f>S171/259</f>
        <v>0.39768339768339767</v>
      </c>
      <c r="T172" s="4">
        <f>T171/215</f>
        <v>0.2744186046511628</v>
      </c>
      <c r="U172" s="4">
        <f>U171/215</f>
        <v>0.7255813953488373</v>
      </c>
      <c r="V172" s="4">
        <f>V171/94</f>
        <v>1</v>
      </c>
      <c r="W172" s="4">
        <f>W171/93</f>
        <v>0.10752688172043011</v>
      </c>
      <c r="X172" s="4">
        <f>X171/93</f>
        <v>0.5913978494623656</v>
      </c>
      <c r="Y172" s="4">
        <f>Y171/93</f>
        <v>0.3010752688172043</v>
      </c>
    </row>
    <row r="173" spans="2:25" ht="10.5" customHeight="1">
      <c r="B173" s="7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0.5" customHeight="1">
      <c r="A174" s="3" t="s">
        <v>101</v>
      </c>
      <c r="B174" s="7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2:25" ht="10.5" customHeight="1">
      <c r="B175" s="5" t="s">
        <v>91</v>
      </c>
      <c r="C175" s="2">
        <v>888</v>
      </c>
      <c r="D175" s="2">
        <v>1594</v>
      </c>
      <c r="E175" s="2">
        <v>883</v>
      </c>
      <c r="F175" s="2">
        <v>963</v>
      </c>
      <c r="G175" s="2">
        <v>1027</v>
      </c>
      <c r="H175" s="2">
        <v>1202</v>
      </c>
      <c r="I175" s="2">
        <v>54424</v>
      </c>
      <c r="J175" s="2">
        <v>374</v>
      </c>
      <c r="K175" s="2">
        <v>328</v>
      </c>
      <c r="L175" s="2">
        <v>8715</v>
      </c>
      <c r="M175" s="2">
        <v>27900</v>
      </c>
      <c r="N175" s="2">
        <v>275</v>
      </c>
      <c r="O175" s="2">
        <v>462</v>
      </c>
      <c r="P175" s="2">
        <v>303</v>
      </c>
      <c r="Q175" s="2">
        <v>334</v>
      </c>
      <c r="R175" s="2">
        <v>265</v>
      </c>
      <c r="S175" s="2">
        <v>204</v>
      </c>
      <c r="T175" s="2">
        <v>71</v>
      </c>
      <c r="U175" s="2">
        <v>290</v>
      </c>
      <c r="V175" s="2">
        <v>295</v>
      </c>
      <c r="W175" s="2">
        <v>10</v>
      </c>
      <c r="X175" s="2">
        <v>24</v>
      </c>
      <c r="Y175" s="2">
        <v>29</v>
      </c>
    </row>
    <row r="176" spans="2:25" ht="10.5" customHeight="1">
      <c r="B176" s="5" t="s">
        <v>93</v>
      </c>
      <c r="C176" s="2">
        <v>395</v>
      </c>
      <c r="D176" s="2">
        <v>562</v>
      </c>
      <c r="E176" s="2">
        <v>816</v>
      </c>
      <c r="F176" s="2">
        <v>184</v>
      </c>
      <c r="G176" s="2">
        <v>126</v>
      </c>
      <c r="H176" s="2">
        <v>217</v>
      </c>
      <c r="I176" s="2">
        <v>7968</v>
      </c>
      <c r="J176" s="2">
        <v>101</v>
      </c>
      <c r="K176" s="2">
        <v>134</v>
      </c>
      <c r="L176" s="2">
        <v>1980</v>
      </c>
      <c r="M176" s="2">
        <v>4628</v>
      </c>
      <c r="N176" s="2">
        <v>86</v>
      </c>
      <c r="O176" s="2">
        <v>176</v>
      </c>
      <c r="P176" s="2">
        <v>106</v>
      </c>
      <c r="Q176" s="2">
        <v>133</v>
      </c>
      <c r="R176" s="2">
        <v>84</v>
      </c>
      <c r="S176" s="2">
        <v>73</v>
      </c>
      <c r="T176" s="2">
        <v>7</v>
      </c>
      <c r="U176" s="2">
        <v>301</v>
      </c>
      <c r="V176" s="2">
        <v>65</v>
      </c>
      <c r="W176" s="2">
        <v>1</v>
      </c>
      <c r="X176" s="2">
        <v>12</v>
      </c>
      <c r="Y176" s="2">
        <v>6</v>
      </c>
    </row>
    <row r="177" spans="1:25" ht="10.5" customHeight="1">
      <c r="A177" s="3" t="s">
        <v>123</v>
      </c>
      <c r="C177" s="2">
        <v>1283</v>
      </c>
      <c r="D177" s="2">
        <v>2156</v>
      </c>
      <c r="E177" s="2">
        <v>1699</v>
      </c>
      <c r="F177" s="2">
        <v>1147</v>
      </c>
      <c r="G177" s="2">
        <v>1153</v>
      </c>
      <c r="H177" s="2">
        <v>1419</v>
      </c>
      <c r="I177" s="2">
        <v>62392</v>
      </c>
      <c r="J177" s="2">
        <v>475</v>
      </c>
      <c r="K177" s="2">
        <v>462</v>
      </c>
      <c r="L177" s="2">
        <v>10695</v>
      </c>
      <c r="M177" s="2">
        <v>32528</v>
      </c>
      <c r="N177" s="2">
        <v>361</v>
      </c>
      <c r="O177" s="2">
        <v>638</v>
      </c>
      <c r="P177" s="2">
        <v>409</v>
      </c>
      <c r="Q177" s="2">
        <v>467</v>
      </c>
      <c r="R177" s="2">
        <v>349</v>
      </c>
      <c r="S177" s="2">
        <v>277</v>
      </c>
      <c r="T177" s="2">
        <v>78</v>
      </c>
      <c r="U177" s="2">
        <v>591</v>
      </c>
      <c r="V177" s="2">
        <v>360</v>
      </c>
      <c r="W177" s="2">
        <v>11</v>
      </c>
      <c r="X177" s="2">
        <v>36</v>
      </c>
      <c r="Y177" s="2">
        <v>35</v>
      </c>
    </row>
    <row r="178" spans="2:25" s="4" customFormat="1" ht="10.5" customHeight="1">
      <c r="B178" s="6" t="s">
        <v>128</v>
      </c>
      <c r="C178" s="4">
        <f aca="true" t="shared" si="42" ref="C178:I178">C177/71249</f>
        <v>0.018007270277477578</v>
      </c>
      <c r="D178" s="4">
        <f t="shared" si="42"/>
        <v>0.03026007382559755</v>
      </c>
      <c r="E178" s="4">
        <f t="shared" si="42"/>
        <v>0.023845948715069686</v>
      </c>
      <c r="F178" s="4">
        <f t="shared" si="42"/>
        <v>0.016098471557495542</v>
      </c>
      <c r="G178" s="4">
        <f t="shared" si="42"/>
        <v>0.016182683265730045</v>
      </c>
      <c r="H178" s="4">
        <f t="shared" si="42"/>
        <v>0.019916068997459613</v>
      </c>
      <c r="I178" s="4">
        <f t="shared" si="42"/>
        <v>0.87568948336117</v>
      </c>
      <c r="J178" s="4">
        <f aca="true" t="shared" si="43" ref="J178:Q178">J177/46035</f>
        <v>0.010318236124687737</v>
      </c>
      <c r="K178" s="4">
        <f t="shared" si="43"/>
        <v>0.01003584229390681</v>
      </c>
      <c r="L178" s="4">
        <f t="shared" si="43"/>
        <v>0.23232323232323232</v>
      </c>
      <c r="M178" s="4">
        <f t="shared" si="43"/>
        <v>0.7065928098186163</v>
      </c>
      <c r="N178" s="4">
        <f t="shared" si="43"/>
        <v>0.00784185945476268</v>
      </c>
      <c r="O178" s="4">
        <f t="shared" si="43"/>
        <v>0.013859020310633213</v>
      </c>
      <c r="P178" s="4">
        <f t="shared" si="43"/>
        <v>0.008884544368415336</v>
      </c>
      <c r="Q178" s="4">
        <f t="shared" si="43"/>
        <v>0.010144455305745629</v>
      </c>
      <c r="R178" s="4">
        <f>R177/626</f>
        <v>0.5575079872204473</v>
      </c>
      <c r="S178" s="4">
        <f>S177/626</f>
        <v>0.4424920127795527</v>
      </c>
      <c r="T178" s="4">
        <f>T177/669</f>
        <v>0.11659192825112108</v>
      </c>
      <c r="U178" s="4">
        <f>U177/669</f>
        <v>0.8834080717488789</v>
      </c>
      <c r="V178" s="4">
        <f>V177/360</f>
        <v>1</v>
      </c>
      <c r="W178" s="4">
        <f>W177/82</f>
        <v>0.13414634146341464</v>
      </c>
      <c r="X178" s="4">
        <f>X177/82</f>
        <v>0.43902439024390244</v>
      </c>
      <c r="Y178" s="4">
        <f>Y177/82</f>
        <v>0.4268292682926829</v>
      </c>
    </row>
    <row r="179" spans="2:25" ht="10.5" customHeight="1">
      <c r="B179" s="7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0.5" customHeight="1">
      <c r="A180" s="3" t="s">
        <v>102</v>
      </c>
      <c r="B180" s="7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2:25" ht="10.5" customHeight="1">
      <c r="B181" s="5" t="s">
        <v>91</v>
      </c>
      <c r="C181" s="2">
        <v>1035</v>
      </c>
      <c r="D181" s="2">
        <v>1906</v>
      </c>
      <c r="E181" s="2">
        <v>2144</v>
      </c>
      <c r="F181" s="2">
        <v>701</v>
      </c>
      <c r="G181" s="2">
        <v>695</v>
      </c>
      <c r="H181" s="2">
        <v>770</v>
      </c>
      <c r="I181" s="2">
        <v>24992</v>
      </c>
      <c r="J181" s="2">
        <v>263</v>
      </c>
      <c r="K181" s="2">
        <v>430</v>
      </c>
      <c r="L181" s="2">
        <v>4621</v>
      </c>
      <c r="M181" s="2">
        <v>11114</v>
      </c>
      <c r="N181" s="2">
        <v>314</v>
      </c>
      <c r="O181" s="2">
        <v>628</v>
      </c>
      <c r="P181" s="2">
        <v>377</v>
      </c>
      <c r="Q181" s="2">
        <v>277</v>
      </c>
      <c r="R181" s="2">
        <v>238</v>
      </c>
      <c r="S181" s="2">
        <v>127</v>
      </c>
      <c r="T181" s="2">
        <v>19</v>
      </c>
      <c r="U181" s="2">
        <v>89</v>
      </c>
      <c r="V181" s="2">
        <v>92</v>
      </c>
      <c r="W181" s="2">
        <v>11</v>
      </c>
      <c r="X181" s="2">
        <v>38</v>
      </c>
      <c r="Y181" s="2">
        <v>27</v>
      </c>
    </row>
    <row r="182" spans="1:25" ht="10.5" customHeight="1">
      <c r="A182" s="3" t="s">
        <v>123</v>
      </c>
      <c r="C182" s="2">
        <v>1035</v>
      </c>
      <c r="D182" s="2">
        <v>1906</v>
      </c>
      <c r="E182" s="2">
        <v>2144</v>
      </c>
      <c r="F182" s="2">
        <v>701</v>
      </c>
      <c r="G182" s="2">
        <v>695</v>
      </c>
      <c r="H182" s="2">
        <v>770</v>
      </c>
      <c r="I182" s="2">
        <v>24992</v>
      </c>
      <c r="J182" s="2">
        <v>263</v>
      </c>
      <c r="K182" s="2">
        <v>430</v>
      </c>
      <c r="L182" s="2">
        <v>4621</v>
      </c>
      <c r="M182" s="2">
        <v>11114</v>
      </c>
      <c r="N182" s="2">
        <v>314</v>
      </c>
      <c r="O182" s="2">
        <v>628</v>
      </c>
      <c r="P182" s="2">
        <v>377</v>
      </c>
      <c r="Q182" s="2">
        <v>277</v>
      </c>
      <c r="R182" s="2">
        <v>238</v>
      </c>
      <c r="S182" s="2">
        <v>127</v>
      </c>
      <c r="T182" s="2">
        <v>19</v>
      </c>
      <c r="U182" s="2">
        <v>89</v>
      </c>
      <c r="V182" s="2">
        <v>92</v>
      </c>
      <c r="W182" s="2">
        <v>11</v>
      </c>
      <c r="X182" s="2">
        <v>38</v>
      </c>
      <c r="Y182" s="2">
        <v>27</v>
      </c>
    </row>
    <row r="183" spans="2:25" s="4" customFormat="1" ht="10.5" customHeight="1">
      <c r="B183" s="6" t="s">
        <v>128</v>
      </c>
      <c r="C183" s="4">
        <f aca="true" t="shared" si="44" ref="C183:I183">C182/32243</f>
        <v>0.03209999069565487</v>
      </c>
      <c r="D183" s="4">
        <f t="shared" si="44"/>
        <v>0.05911360605402723</v>
      </c>
      <c r="E183" s="4">
        <f t="shared" si="44"/>
        <v>0.06649505318983966</v>
      </c>
      <c r="F183" s="4">
        <f t="shared" si="44"/>
        <v>0.021741153118506343</v>
      </c>
      <c r="G183" s="4">
        <f t="shared" si="44"/>
        <v>0.021555066215922836</v>
      </c>
      <c r="H183" s="4">
        <f t="shared" si="44"/>
        <v>0.02388115249821667</v>
      </c>
      <c r="I183" s="4">
        <f t="shared" si="44"/>
        <v>0.7751139782278323</v>
      </c>
      <c r="J183" s="4">
        <f aca="true" t="shared" si="45" ref="J183:Q183">J182/18024</f>
        <v>0.014591655570350644</v>
      </c>
      <c r="K183" s="4">
        <f t="shared" si="45"/>
        <v>0.023857079449622724</v>
      </c>
      <c r="L183" s="4">
        <f t="shared" si="45"/>
        <v>0.2563803817132712</v>
      </c>
      <c r="M183" s="4">
        <f t="shared" si="45"/>
        <v>0.6166222814025744</v>
      </c>
      <c r="N183" s="4">
        <f t="shared" si="45"/>
        <v>0.017421216156236128</v>
      </c>
      <c r="O183" s="4">
        <f t="shared" si="45"/>
        <v>0.034842432312472256</v>
      </c>
      <c r="P183" s="4">
        <f t="shared" si="45"/>
        <v>0.020916555703506437</v>
      </c>
      <c r="Q183" s="4">
        <f t="shared" si="45"/>
        <v>0.015368397691966268</v>
      </c>
      <c r="R183" s="4">
        <f>R182/365</f>
        <v>0.6520547945205479</v>
      </c>
      <c r="S183" s="4">
        <f>S182/365</f>
        <v>0.34794520547945207</v>
      </c>
      <c r="T183" s="4">
        <f>T182/108</f>
        <v>0.17592592592592593</v>
      </c>
      <c r="U183" s="4">
        <f>U182/108</f>
        <v>0.8240740740740741</v>
      </c>
      <c r="V183" s="4">
        <f>V182/92</f>
        <v>1</v>
      </c>
      <c r="W183" s="4">
        <f>W182/76</f>
        <v>0.14473684210526316</v>
      </c>
      <c r="X183" s="4">
        <f>X182/76</f>
        <v>0.5</v>
      </c>
      <c r="Y183" s="4">
        <f>Y182/76</f>
        <v>0.35526315789473684</v>
      </c>
    </row>
    <row r="184" spans="2:25" ht="10.5" customHeight="1">
      <c r="B184" s="7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0.5" customHeight="1">
      <c r="A185" s="3" t="s">
        <v>103</v>
      </c>
      <c r="B185" s="7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2:25" ht="10.5" customHeight="1">
      <c r="B186" s="5" t="s">
        <v>91</v>
      </c>
      <c r="C186" s="2">
        <v>1316</v>
      </c>
      <c r="D186" s="2">
        <v>1764</v>
      </c>
      <c r="E186" s="2">
        <v>1699</v>
      </c>
      <c r="F186" s="2">
        <v>858</v>
      </c>
      <c r="G186" s="2">
        <v>731</v>
      </c>
      <c r="H186" s="2">
        <v>1006</v>
      </c>
      <c r="I186" s="2">
        <v>41403</v>
      </c>
      <c r="J186" s="2">
        <v>323</v>
      </c>
      <c r="K186" s="2">
        <v>283</v>
      </c>
      <c r="L186" s="2">
        <v>5443</v>
      </c>
      <c r="M186" s="2">
        <v>16018</v>
      </c>
      <c r="N186" s="2">
        <v>225</v>
      </c>
      <c r="O186" s="2">
        <v>408</v>
      </c>
      <c r="P186" s="2">
        <v>333</v>
      </c>
      <c r="Q186" s="2">
        <v>354</v>
      </c>
      <c r="R186" s="2">
        <v>229</v>
      </c>
      <c r="S186" s="2">
        <v>166</v>
      </c>
      <c r="T186" s="2">
        <v>38</v>
      </c>
      <c r="U186" s="2">
        <v>106</v>
      </c>
      <c r="V186" s="2">
        <v>150</v>
      </c>
      <c r="W186" s="2">
        <v>13</v>
      </c>
      <c r="X186" s="2">
        <v>29</v>
      </c>
      <c r="Y186" s="2">
        <v>28</v>
      </c>
    </row>
    <row r="187" spans="1:25" ht="10.5" customHeight="1">
      <c r="A187" s="3" t="s">
        <v>123</v>
      </c>
      <c r="C187" s="2">
        <v>1316</v>
      </c>
      <c r="D187" s="2">
        <v>1764</v>
      </c>
      <c r="E187" s="2">
        <v>1699</v>
      </c>
      <c r="F187" s="2">
        <v>858</v>
      </c>
      <c r="G187" s="2">
        <v>731</v>
      </c>
      <c r="H187" s="2">
        <v>1006</v>
      </c>
      <c r="I187" s="2">
        <v>41403</v>
      </c>
      <c r="J187" s="2">
        <v>323</v>
      </c>
      <c r="K187" s="2">
        <v>283</v>
      </c>
      <c r="L187" s="2">
        <v>5443</v>
      </c>
      <c r="M187" s="2">
        <v>16018</v>
      </c>
      <c r="N187" s="2">
        <v>225</v>
      </c>
      <c r="O187" s="2">
        <v>408</v>
      </c>
      <c r="P187" s="2">
        <v>333</v>
      </c>
      <c r="Q187" s="2">
        <v>354</v>
      </c>
      <c r="R187" s="2">
        <v>229</v>
      </c>
      <c r="S187" s="2">
        <v>166</v>
      </c>
      <c r="T187" s="2">
        <v>38</v>
      </c>
      <c r="U187" s="2">
        <v>106</v>
      </c>
      <c r="V187" s="2">
        <v>150</v>
      </c>
      <c r="W187" s="2">
        <v>13</v>
      </c>
      <c r="X187" s="2">
        <v>29</v>
      </c>
      <c r="Y187" s="2">
        <v>28</v>
      </c>
    </row>
    <row r="188" spans="2:25" s="4" customFormat="1" ht="10.5" customHeight="1">
      <c r="B188" s="6" t="s">
        <v>128</v>
      </c>
      <c r="C188" s="4">
        <f aca="true" t="shared" si="46" ref="C188:I188">C187/48777</f>
        <v>0.026979929064928142</v>
      </c>
      <c r="D188" s="4">
        <f t="shared" si="46"/>
        <v>0.0361645857678824</v>
      </c>
      <c r="E188" s="4">
        <f t="shared" si="46"/>
        <v>0.034831990487319844</v>
      </c>
      <c r="F188" s="4">
        <f t="shared" si="46"/>
        <v>0.017590257703425795</v>
      </c>
      <c r="G188" s="4">
        <f t="shared" si="46"/>
        <v>0.014986571539865101</v>
      </c>
      <c r="H188" s="4">
        <f t="shared" si="46"/>
        <v>0.020624474649937472</v>
      </c>
      <c r="I188" s="4">
        <f t="shared" si="46"/>
        <v>0.8488221907866412</v>
      </c>
      <c r="J188" s="4">
        <f aca="true" t="shared" si="47" ref="J188:Q188">J187/23387</f>
        <v>0.013811091632103305</v>
      </c>
      <c r="K188" s="4">
        <f t="shared" si="47"/>
        <v>0.012100739727198872</v>
      </c>
      <c r="L188" s="4">
        <f t="shared" si="47"/>
        <v>0.23273613545987087</v>
      </c>
      <c r="M188" s="4">
        <f t="shared" si="47"/>
        <v>0.6849104203189806</v>
      </c>
      <c r="N188" s="4">
        <f t="shared" si="47"/>
        <v>0.009620729465087442</v>
      </c>
      <c r="O188" s="4">
        <f t="shared" si="47"/>
        <v>0.017445589430025228</v>
      </c>
      <c r="P188" s="4">
        <f t="shared" si="47"/>
        <v>0.014238679608329413</v>
      </c>
      <c r="Q188" s="4">
        <f t="shared" si="47"/>
        <v>0.015136614358404242</v>
      </c>
      <c r="R188" s="4">
        <f>R187/395</f>
        <v>0.579746835443038</v>
      </c>
      <c r="S188" s="4">
        <f>S187/395</f>
        <v>0.42025316455696204</v>
      </c>
      <c r="T188" s="4">
        <f>T187/144</f>
        <v>0.2638888888888889</v>
      </c>
      <c r="U188" s="4">
        <f>U187/144</f>
        <v>0.7361111111111112</v>
      </c>
      <c r="V188" s="4">
        <f>V187/150</f>
        <v>1</v>
      </c>
      <c r="W188" s="4">
        <f>W187/70</f>
        <v>0.18571428571428572</v>
      </c>
      <c r="X188" s="4">
        <f>X187/70</f>
        <v>0.4142857142857143</v>
      </c>
      <c r="Y188" s="4">
        <f>Y187/70</f>
        <v>0.4</v>
      </c>
    </row>
    <row r="189" spans="2:25" ht="10.5" customHeight="1">
      <c r="B189" s="7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0.5" customHeight="1">
      <c r="A190" s="3" t="s">
        <v>104</v>
      </c>
      <c r="B190" s="7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2:25" ht="10.5" customHeight="1">
      <c r="B191" s="5" t="s">
        <v>91</v>
      </c>
      <c r="C191" s="2">
        <v>959</v>
      </c>
      <c r="D191" s="2">
        <v>1843</v>
      </c>
      <c r="E191" s="2">
        <v>1272</v>
      </c>
      <c r="F191" s="2">
        <v>834</v>
      </c>
      <c r="G191" s="2">
        <v>870</v>
      </c>
      <c r="H191" s="2">
        <v>876</v>
      </c>
      <c r="I191" s="2">
        <v>54045</v>
      </c>
      <c r="J191" s="2">
        <v>214</v>
      </c>
      <c r="K191" s="2">
        <v>204</v>
      </c>
      <c r="L191" s="2">
        <v>3090</v>
      </c>
      <c r="M191" s="2">
        <v>7419</v>
      </c>
      <c r="N191" s="2">
        <v>180</v>
      </c>
      <c r="O191" s="2">
        <v>224</v>
      </c>
      <c r="P191" s="2">
        <v>213</v>
      </c>
      <c r="Q191" s="2">
        <v>179</v>
      </c>
      <c r="R191" s="2">
        <v>171</v>
      </c>
      <c r="S191" s="2">
        <v>143</v>
      </c>
      <c r="T191" s="2">
        <v>65</v>
      </c>
      <c r="U191" s="2">
        <v>181</v>
      </c>
      <c r="V191" s="2">
        <v>156</v>
      </c>
      <c r="W191" s="2">
        <v>16</v>
      </c>
      <c r="X191" s="2">
        <v>44</v>
      </c>
      <c r="Y191" s="2">
        <v>47</v>
      </c>
    </row>
    <row r="192" spans="1:25" ht="10.5" customHeight="1">
      <c r="A192" s="3" t="s">
        <v>123</v>
      </c>
      <c r="C192" s="2">
        <v>959</v>
      </c>
      <c r="D192" s="2">
        <v>1843</v>
      </c>
      <c r="E192" s="2">
        <v>1272</v>
      </c>
      <c r="F192" s="2">
        <v>834</v>
      </c>
      <c r="G192" s="2">
        <v>870</v>
      </c>
      <c r="H192" s="2">
        <v>876</v>
      </c>
      <c r="I192" s="2">
        <v>54045</v>
      </c>
      <c r="J192" s="2">
        <v>214</v>
      </c>
      <c r="K192" s="2">
        <v>204</v>
      </c>
      <c r="L192" s="2">
        <v>3090</v>
      </c>
      <c r="M192" s="2">
        <v>7419</v>
      </c>
      <c r="N192" s="2">
        <v>180</v>
      </c>
      <c r="O192" s="2">
        <v>224</v>
      </c>
      <c r="P192" s="2">
        <v>213</v>
      </c>
      <c r="Q192" s="2">
        <v>179</v>
      </c>
      <c r="R192" s="2">
        <v>171</v>
      </c>
      <c r="S192" s="2">
        <v>143</v>
      </c>
      <c r="T192" s="2">
        <v>65</v>
      </c>
      <c r="U192" s="2">
        <v>181</v>
      </c>
      <c r="V192" s="2">
        <v>156</v>
      </c>
      <c r="W192" s="2">
        <v>16</v>
      </c>
      <c r="X192" s="2">
        <v>44</v>
      </c>
      <c r="Y192" s="2">
        <v>47</v>
      </c>
    </row>
    <row r="193" spans="2:25" s="4" customFormat="1" ht="10.5" customHeight="1">
      <c r="B193" s="6" t="s">
        <v>128</v>
      </c>
      <c r="C193" s="4">
        <f aca="true" t="shared" si="48" ref="C193:I193">C192/60699</f>
        <v>0.01579927181666914</v>
      </c>
      <c r="D193" s="4">
        <f t="shared" si="48"/>
        <v>0.030362938433911597</v>
      </c>
      <c r="E193" s="4">
        <f t="shared" si="48"/>
        <v>0.02095586418227648</v>
      </c>
      <c r="F193" s="4">
        <f t="shared" si="48"/>
        <v>0.013739929817624673</v>
      </c>
      <c r="G193" s="4">
        <f t="shared" si="48"/>
        <v>0.014333020313349478</v>
      </c>
      <c r="H193" s="4">
        <f t="shared" si="48"/>
        <v>0.014431868729303613</v>
      </c>
      <c r="I193" s="4">
        <f t="shared" si="48"/>
        <v>0.890377106706865</v>
      </c>
      <c r="J193" s="4">
        <f aca="true" t="shared" si="49" ref="J193:Q193">J192/11723</f>
        <v>0.018254712957434104</v>
      </c>
      <c r="K193" s="4">
        <f t="shared" si="49"/>
        <v>0.01740168898746055</v>
      </c>
      <c r="L193" s="4">
        <f t="shared" si="49"/>
        <v>0.26358440672182887</v>
      </c>
      <c r="M193" s="4">
        <f t="shared" si="49"/>
        <v>0.6328584833233813</v>
      </c>
      <c r="N193" s="4">
        <f t="shared" si="49"/>
        <v>0.015354431459524013</v>
      </c>
      <c r="O193" s="4">
        <f t="shared" si="49"/>
        <v>0.01910773692740766</v>
      </c>
      <c r="P193" s="4">
        <f t="shared" si="49"/>
        <v>0.01816941056043675</v>
      </c>
      <c r="Q193" s="4">
        <f t="shared" si="49"/>
        <v>0.015269129062526657</v>
      </c>
      <c r="R193" s="4">
        <f>R192/314</f>
        <v>0.5445859872611465</v>
      </c>
      <c r="S193" s="4">
        <f>S192/314</f>
        <v>0.4554140127388535</v>
      </c>
      <c r="T193" s="4">
        <f>T192/246</f>
        <v>0.26422764227642276</v>
      </c>
      <c r="U193" s="4">
        <f>U192/246</f>
        <v>0.7357723577235772</v>
      </c>
      <c r="V193" s="4">
        <f>V192/156</f>
        <v>1</v>
      </c>
      <c r="W193" s="4">
        <f>W192/107</f>
        <v>0.14953271028037382</v>
      </c>
      <c r="X193" s="4">
        <f>X192/107</f>
        <v>0.411214953271028</v>
      </c>
      <c r="Y193" s="4">
        <f>Y192/107</f>
        <v>0.4392523364485981</v>
      </c>
    </row>
    <row r="194" spans="2:25" ht="10.5" customHeight="1">
      <c r="B194" s="7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0.5" customHeight="1">
      <c r="A195" s="3" t="s">
        <v>105</v>
      </c>
      <c r="B195" s="7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2:25" ht="10.5" customHeight="1">
      <c r="B196" s="5" t="s">
        <v>91</v>
      </c>
      <c r="C196" s="2">
        <v>1137</v>
      </c>
      <c r="D196" s="2">
        <v>2328</v>
      </c>
      <c r="E196" s="2">
        <v>1951</v>
      </c>
      <c r="F196" s="2">
        <v>790</v>
      </c>
      <c r="G196" s="2">
        <v>904</v>
      </c>
      <c r="H196" s="2">
        <v>1113</v>
      </c>
      <c r="I196" s="2">
        <v>31989</v>
      </c>
      <c r="J196" s="2">
        <v>531</v>
      </c>
      <c r="K196" s="2">
        <v>556</v>
      </c>
      <c r="L196" s="2">
        <v>8867</v>
      </c>
      <c r="M196" s="2">
        <v>22061</v>
      </c>
      <c r="N196" s="2">
        <v>404</v>
      </c>
      <c r="O196" s="2">
        <v>688</v>
      </c>
      <c r="P196" s="2">
        <v>584</v>
      </c>
      <c r="Q196" s="2">
        <v>369</v>
      </c>
      <c r="R196" s="2">
        <v>327</v>
      </c>
      <c r="S196" s="2">
        <v>238</v>
      </c>
      <c r="T196" s="2">
        <v>73</v>
      </c>
      <c r="U196" s="2">
        <v>196</v>
      </c>
      <c r="V196" s="2">
        <v>210</v>
      </c>
      <c r="W196" s="2">
        <v>13</v>
      </c>
      <c r="X196" s="2">
        <v>36</v>
      </c>
      <c r="Y196" s="2">
        <v>15</v>
      </c>
    </row>
    <row r="197" spans="1:25" ht="10.5" customHeight="1">
      <c r="A197" s="3" t="s">
        <v>123</v>
      </c>
      <c r="C197" s="2">
        <v>1137</v>
      </c>
      <c r="D197" s="2">
        <v>2328</v>
      </c>
      <c r="E197" s="2">
        <v>1951</v>
      </c>
      <c r="F197" s="2">
        <v>790</v>
      </c>
      <c r="G197" s="2">
        <v>904</v>
      </c>
      <c r="H197" s="2">
        <v>1113</v>
      </c>
      <c r="I197" s="2">
        <v>31989</v>
      </c>
      <c r="J197" s="2">
        <v>531</v>
      </c>
      <c r="K197" s="2">
        <v>556</v>
      </c>
      <c r="L197" s="2">
        <v>8867</v>
      </c>
      <c r="M197" s="2">
        <v>22061</v>
      </c>
      <c r="N197" s="2">
        <v>404</v>
      </c>
      <c r="O197" s="2">
        <v>688</v>
      </c>
      <c r="P197" s="2">
        <v>584</v>
      </c>
      <c r="Q197" s="2">
        <v>369</v>
      </c>
      <c r="R197" s="2">
        <v>327</v>
      </c>
      <c r="S197" s="2">
        <v>238</v>
      </c>
      <c r="T197" s="2">
        <v>73</v>
      </c>
      <c r="U197" s="2">
        <v>196</v>
      </c>
      <c r="V197" s="2">
        <v>210</v>
      </c>
      <c r="W197" s="2">
        <v>13</v>
      </c>
      <c r="X197" s="2">
        <v>36</v>
      </c>
      <c r="Y197" s="2">
        <v>15</v>
      </c>
    </row>
    <row r="198" spans="2:25" s="4" customFormat="1" ht="10.5" customHeight="1">
      <c r="B198" s="6" t="s">
        <v>128</v>
      </c>
      <c r="C198" s="4">
        <f aca="true" t="shared" si="50" ref="C198:I198">C197/40212</f>
        <v>0.028275141748731723</v>
      </c>
      <c r="D198" s="4">
        <f t="shared" si="50"/>
        <v>0.057893166219039095</v>
      </c>
      <c r="E198" s="4">
        <f t="shared" si="50"/>
        <v>0.04851785536655725</v>
      </c>
      <c r="F198" s="4">
        <f t="shared" si="50"/>
        <v>0.01964587685268079</v>
      </c>
      <c r="G198" s="4">
        <f t="shared" si="50"/>
        <v>0.022480851487118272</v>
      </c>
      <c r="H198" s="4">
        <f t="shared" si="50"/>
        <v>0.02767830498358699</v>
      </c>
      <c r="I198" s="4">
        <f t="shared" si="50"/>
        <v>0.7955088033422859</v>
      </c>
      <c r="J198" s="4">
        <f aca="true" t="shared" si="51" ref="J198:Q198">J197/34060</f>
        <v>0.01559013505578391</v>
      </c>
      <c r="K198" s="4">
        <f t="shared" si="51"/>
        <v>0.01632413388138579</v>
      </c>
      <c r="L198" s="4">
        <f t="shared" si="51"/>
        <v>0.26033470346447446</v>
      </c>
      <c r="M198" s="4">
        <f t="shared" si="51"/>
        <v>0.6477099236641222</v>
      </c>
      <c r="N198" s="4">
        <f t="shared" si="51"/>
        <v>0.011861421021726366</v>
      </c>
      <c r="O198" s="4">
        <f t="shared" si="51"/>
        <v>0.02019964768056371</v>
      </c>
      <c r="P198" s="4">
        <f t="shared" si="51"/>
        <v>0.017146212566059894</v>
      </c>
      <c r="Q198" s="4">
        <f t="shared" si="51"/>
        <v>0.010833822665883735</v>
      </c>
      <c r="R198" s="4">
        <f>R197/565</f>
        <v>0.5787610619469027</v>
      </c>
      <c r="S198" s="4">
        <f>S197/565</f>
        <v>0.42123893805309737</v>
      </c>
      <c r="T198" s="4">
        <f>T197/269</f>
        <v>0.27137546468401486</v>
      </c>
      <c r="U198" s="4">
        <f>U197/269</f>
        <v>0.7286245353159851</v>
      </c>
      <c r="V198" s="4">
        <f>V197/210</f>
        <v>1</v>
      </c>
      <c r="W198" s="4">
        <f>W197/64</f>
        <v>0.203125</v>
      </c>
      <c r="X198" s="4">
        <f>X197/64</f>
        <v>0.5625</v>
      </c>
      <c r="Y198" s="4">
        <f>Y197/64</f>
        <v>0.234375</v>
      </c>
    </row>
    <row r="199" spans="2:25" ht="10.5" customHeight="1">
      <c r="B199" s="7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0.5" customHeight="1">
      <c r="A200" s="3" t="s">
        <v>106</v>
      </c>
      <c r="B200" s="7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2:25" ht="10.5" customHeight="1">
      <c r="B201" s="5" t="s">
        <v>91</v>
      </c>
      <c r="C201" s="2">
        <v>1128</v>
      </c>
      <c r="D201" s="2">
        <v>2353</v>
      </c>
      <c r="E201" s="2">
        <v>2224</v>
      </c>
      <c r="F201" s="2">
        <v>988</v>
      </c>
      <c r="G201" s="2">
        <v>1026</v>
      </c>
      <c r="H201" s="2">
        <v>1406</v>
      </c>
      <c r="I201" s="2">
        <v>52272</v>
      </c>
      <c r="J201" s="2">
        <v>628</v>
      </c>
      <c r="K201" s="2">
        <v>486</v>
      </c>
      <c r="L201" s="2">
        <v>11663</v>
      </c>
      <c r="M201" s="2">
        <v>30319</v>
      </c>
      <c r="N201" s="2">
        <v>364</v>
      </c>
      <c r="O201" s="2">
        <v>721</v>
      </c>
      <c r="P201" s="2">
        <v>592</v>
      </c>
      <c r="Q201" s="2">
        <v>476</v>
      </c>
      <c r="R201" s="2">
        <v>438</v>
      </c>
      <c r="S201" s="2">
        <v>252</v>
      </c>
      <c r="T201" s="2">
        <v>80</v>
      </c>
      <c r="U201" s="2">
        <v>298</v>
      </c>
      <c r="V201" s="2">
        <v>375</v>
      </c>
      <c r="W201" s="2">
        <v>15</v>
      </c>
      <c r="X201" s="2">
        <v>43</v>
      </c>
      <c r="Y201" s="2">
        <v>40</v>
      </c>
    </row>
    <row r="202" spans="1:25" ht="10.5" customHeight="1">
      <c r="A202" s="3" t="s">
        <v>123</v>
      </c>
      <c r="C202" s="2">
        <v>1128</v>
      </c>
      <c r="D202" s="2">
        <v>2353</v>
      </c>
      <c r="E202" s="2">
        <v>2224</v>
      </c>
      <c r="F202" s="2">
        <v>988</v>
      </c>
      <c r="G202" s="2">
        <v>1026</v>
      </c>
      <c r="H202" s="2">
        <v>1406</v>
      </c>
      <c r="I202" s="2">
        <v>52272</v>
      </c>
      <c r="J202" s="2">
        <v>628</v>
      </c>
      <c r="K202" s="2">
        <v>486</v>
      </c>
      <c r="L202" s="2">
        <v>11663</v>
      </c>
      <c r="M202" s="2">
        <v>30319</v>
      </c>
      <c r="N202" s="2">
        <v>364</v>
      </c>
      <c r="O202" s="2">
        <v>721</v>
      </c>
      <c r="P202" s="2">
        <v>592</v>
      </c>
      <c r="Q202" s="2">
        <v>476</v>
      </c>
      <c r="R202" s="2">
        <v>438</v>
      </c>
      <c r="S202" s="2">
        <v>252</v>
      </c>
      <c r="T202" s="2">
        <v>80</v>
      </c>
      <c r="U202" s="2">
        <v>298</v>
      </c>
      <c r="V202" s="2">
        <v>375</v>
      </c>
      <c r="W202" s="2">
        <v>15</v>
      </c>
      <c r="X202" s="2">
        <v>43</v>
      </c>
      <c r="Y202" s="2">
        <v>40</v>
      </c>
    </row>
    <row r="203" spans="2:25" s="4" customFormat="1" ht="10.5" customHeight="1">
      <c r="B203" s="6" t="s">
        <v>128</v>
      </c>
      <c r="C203" s="4">
        <f aca="true" t="shared" si="52" ref="C203:I203">C202/61397</f>
        <v>0.01837223317100184</v>
      </c>
      <c r="D203" s="4">
        <f t="shared" si="52"/>
        <v>0.038324348095183806</v>
      </c>
      <c r="E203" s="4">
        <f t="shared" si="52"/>
        <v>0.03622326823786178</v>
      </c>
      <c r="F203" s="4">
        <f t="shared" si="52"/>
        <v>0.016091991465381046</v>
      </c>
      <c r="G203" s="4">
        <f t="shared" si="52"/>
        <v>0.016710914214049546</v>
      </c>
      <c r="H203" s="4">
        <f t="shared" si="52"/>
        <v>0.022900141700734563</v>
      </c>
      <c r="I203" s="4">
        <f t="shared" si="52"/>
        <v>0.8513771031157874</v>
      </c>
      <c r="J203" s="4">
        <f aca="true" t="shared" si="53" ref="J203:Q203">J202/45249</f>
        <v>0.01387875975159672</v>
      </c>
      <c r="K203" s="4">
        <f t="shared" si="53"/>
        <v>0.010740568852350328</v>
      </c>
      <c r="L203" s="4">
        <f t="shared" si="53"/>
        <v>0.2577515525204977</v>
      </c>
      <c r="M203" s="4">
        <f t="shared" si="53"/>
        <v>0.6700479568609251</v>
      </c>
      <c r="N203" s="4">
        <f t="shared" si="53"/>
        <v>0.008044376671307652</v>
      </c>
      <c r="O203" s="4">
        <f t="shared" si="53"/>
        <v>0.015934053791244004</v>
      </c>
      <c r="P203" s="4">
        <f t="shared" si="53"/>
        <v>0.01308316205883003</v>
      </c>
      <c r="Q203" s="4">
        <f t="shared" si="53"/>
        <v>0.01051956949324847</v>
      </c>
      <c r="R203" s="4">
        <f>R202/690</f>
        <v>0.6347826086956522</v>
      </c>
      <c r="S203" s="4">
        <f>S202/690</f>
        <v>0.3652173913043478</v>
      </c>
      <c r="T203" s="4">
        <f>T202/378</f>
        <v>0.21164021164021163</v>
      </c>
      <c r="U203" s="4">
        <f>U202/378</f>
        <v>0.7883597883597884</v>
      </c>
      <c r="V203" s="4">
        <f>V202/375</f>
        <v>1</v>
      </c>
      <c r="W203" s="4">
        <f>W202/98</f>
        <v>0.15306122448979592</v>
      </c>
      <c r="X203" s="4">
        <f>X202/98</f>
        <v>0.4387755102040816</v>
      </c>
      <c r="Y203" s="4">
        <f>Y202/98</f>
        <v>0.40816326530612246</v>
      </c>
    </row>
    <row r="204" spans="2:25" ht="10.5" customHeight="1">
      <c r="B204" s="7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0.5" customHeight="1">
      <c r="A205" s="3" t="s">
        <v>108</v>
      </c>
      <c r="B205" s="7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2:25" ht="10.5" customHeight="1">
      <c r="B206" s="5" t="s">
        <v>91</v>
      </c>
      <c r="C206" s="2">
        <v>700</v>
      </c>
      <c r="D206" s="2">
        <v>960</v>
      </c>
      <c r="E206" s="2">
        <v>976</v>
      </c>
      <c r="F206" s="2">
        <v>616</v>
      </c>
      <c r="G206" s="2">
        <v>420</v>
      </c>
      <c r="H206" s="2">
        <v>700</v>
      </c>
      <c r="I206" s="2">
        <v>19234</v>
      </c>
      <c r="J206" s="2">
        <v>527</v>
      </c>
      <c r="K206" s="2">
        <v>508</v>
      </c>
      <c r="L206" s="2">
        <v>9942</v>
      </c>
      <c r="M206" s="2">
        <v>26577</v>
      </c>
      <c r="N206" s="2">
        <v>343</v>
      </c>
      <c r="O206" s="2">
        <v>544</v>
      </c>
      <c r="P206" s="2">
        <v>565</v>
      </c>
      <c r="Q206" s="2">
        <v>462</v>
      </c>
      <c r="R206" s="2">
        <v>249</v>
      </c>
      <c r="S206" s="2">
        <v>157</v>
      </c>
      <c r="T206" s="2">
        <v>40</v>
      </c>
      <c r="U206" s="2">
        <v>128</v>
      </c>
      <c r="V206" s="2">
        <v>208</v>
      </c>
      <c r="W206" s="2">
        <v>6</v>
      </c>
      <c r="X206" s="2">
        <v>25</v>
      </c>
      <c r="Y206" s="2">
        <v>14</v>
      </c>
    </row>
    <row r="207" spans="2:25" ht="10.5" customHeight="1">
      <c r="B207" s="5" t="s">
        <v>107</v>
      </c>
      <c r="C207" s="2">
        <v>430</v>
      </c>
      <c r="D207" s="2">
        <v>691</v>
      </c>
      <c r="E207" s="2">
        <v>653</v>
      </c>
      <c r="F207" s="2">
        <v>224</v>
      </c>
      <c r="G207" s="2">
        <v>244</v>
      </c>
      <c r="H207" s="2">
        <v>396</v>
      </c>
      <c r="I207" s="2">
        <v>7799</v>
      </c>
      <c r="J207" s="2">
        <v>285</v>
      </c>
      <c r="K207" s="2">
        <v>299</v>
      </c>
      <c r="L207" s="2">
        <v>7908</v>
      </c>
      <c r="M207" s="2">
        <v>19029</v>
      </c>
      <c r="N207" s="2">
        <v>320</v>
      </c>
      <c r="O207" s="2">
        <v>516</v>
      </c>
      <c r="P207" s="2">
        <v>416</v>
      </c>
      <c r="Q207" s="2">
        <v>177</v>
      </c>
      <c r="R207" s="2">
        <v>172</v>
      </c>
      <c r="S207" s="2">
        <v>126</v>
      </c>
      <c r="T207" s="2">
        <v>17</v>
      </c>
      <c r="U207" s="2">
        <v>36</v>
      </c>
      <c r="V207" s="2">
        <v>131</v>
      </c>
      <c r="W207" s="2">
        <v>6</v>
      </c>
      <c r="X207" s="2">
        <v>1</v>
      </c>
      <c r="Y207" s="2">
        <v>9</v>
      </c>
    </row>
    <row r="208" spans="2:25" ht="10.5" customHeight="1">
      <c r="B208" s="5" t="s">
        <v>92</v>
      </c>
      <c r="C208" s="2">
        <v>163</v>
      </c>
      <c r="D208" s="2">
        <v>390</v>
      </c>
      <c r="E208" s="2">
        <v>373</v>
      </c>
      <c r="F208" s="2">
        <v>107</v>
      </c>
      <c r="G208" s="2">
        <v>104</v>
      </c>
      <c r="H208" s="2">
        <v>180</v>
      </c>
      <c r="I208" s="2">
        <v>3856</v>
      </c>
      <c r="J208" s="2">
        <v>127</v>
      </c>
      <c r="K208" s="2">
        <v>141</v>
      </c>
      <c r="L208" s="2">
        <v>3030</v>
      </c>
      <c r="M208" s="2">
        <v>6232</v>
      </c>
      <c r="N208" s="2">
        <v>66</v>
      </c>
      <c r="O208" s="2">
        <v>287</v>
      </c>
      <c r="P208" s="2">
        <v>215</v>
      </c>
      <c r="Q208" s="2">
        <v>72</v>
      </c>
      <c r="R208" s="2">
        <v>87</v>
      </c>
      <c r="S208" s="2">
        <v>63</v>
      </c>
      <c r="T208" s="2">
        <v>9</v>
      </c>
      <c r="U208" s="2">
        <v>17</v>
      </c>
      <c r="V208" s="2">
        <v>48</v>
      </c>
      <c r="W208" s="2">
        <v>2</v>
      </c>
      <c r="X208" s="2">
        <v>2</v>
      </c>
      <c r="Y208" s="2">
        <v>4</v>
      </c>
    </row>
    <row r="209" spans="1:25" ht="10.5" customHeight="1">
      <c r="A209" s="3" t="s">
        <v>123</v>
      </c>
      <c r="C209" s="2">
        <v>1293</v>
      </c>
      <c r="D209" s="2">
        <v>2041</v>
      </c>
      <c r="E209" s="2">
        <v>2002</v>
      </c>
      <c r="F209" s="2">
        <v>947</v>
      </c>
      <c r="G209" s="2">
        <v>768</v>
      </c>
      <c r="H209" s="2">
        <v>1276</v>
      </c>
      <c r="I209" s="2">
        <v>30889</v>
      </c>
      <c r="J209" s="2">
        <v>939</v>
      </c>
      <c r="K209" s="2">
        <v>948</v>
      </c>
      <c r="L209" s="2">
        <v>20880</v>
      </c>
      <c r="M209" s="2">
        <v>51838</v>
      </c>
      <c r="N209" s="2">
        <v>729</v>
      </c>
      <c r="O209" s="2">
        <v>1347</v>
      </c>
      <c r="P209" s="2">
        <v>1196</v>
      </c>
      <c r="Q209" s="2">
        <v>711</v>
      </c>
      <c r="R209" s="2">
        <v>508</v>
      </c>
      <c r="S209" s="2">
        <v>346</v>
      </c>
      <c r="T209" s="2">
        <v>66</v>
      </c>
      <c r="U209" s="2">
        <v>181</v>
      </c>
      <c r="V209" s="2">
        <v>387</v>
      </c>
      <c r="W209" s="2">
        <v>14</v>
      </c>
      <c r="X209" s="2">
        <v>28</v>
      </c>
      <c r="Y209" s="2">
        <v>27</v>
      </c>
    </row>
    <row r="210" spans="2:25" s="4" customFormat="1" ht="10.5" customHeight="1">
      <c r="B210" s="6" t="s">
        <v>128</v>
      </c>
      <c r="C210" s="4">
        <f aca="true" t="shared" si="54" ref="C210:I210">C209/39216</f>
        <v>0.03297123623011016</v>
      </c>
      <c r="D210" s="4">
        <f t="shared" si="54"/>
        <v>0.052045083639330886</v>
      </c>
      <c r="E210" s="4">
        <f t="shared" si="54"/>
        <v>0.05105059159526724</v>
      </c>
      <c r="F210" s="4">
        <f t="shared" si="54"/>
        <v>0.024148306813545493</v>
      </c>
      <c r="G210" s="4">
        <f t="shared" si="54"/>
        <v>0.019583843329253364</v>
      </c>
      <c r="H210" s="4">
        <f t="shared" si="54"/>
        <v>0.032537739698082414</v>
      </c>
      <c r="I210" s="4">
        <f t="shared" si="54"/>
        <v>0.7876631986944105</v>
      </c>
      <c r="J210" s="4">
        <f aca="true" t="shared" si="55" ref="J210:Q210">J209/78588</f>
        <v>0.011948389067033134</v>
      </c>
      <c r="K210" s="4">
        <f t="shared" si="55"/>
        <v>0.012062910367995113</v>
      </c>
      <c r="L210" s="4">
        <f t="shared" si="55"/>
        <v>0.2656894182317911</v>
      </c>
      <c r="M210" s="4">
        <f t="shared" si="55"/>
        <v>0.6596172443630071</v>
      </c>
      <c r="N210" s="4">
        <f t="shared" si="55"/>
        <v>0.009276225377920293</v>
      </c>
      <c r="O210" s="4">
        <f t="shared" si="55"/>
        <v>0.017140021377309512</v>
      </c>
      <c r="P210" s="4">
        <f t="shared" si="55"/>
        <v>0.015218608438947422</v>
      </c>
      <c r="Q210" s="4">
        <f t="shared" si="55"/>
        <v>0.009047182775996336</v>
      </c>
      <c r="R210" s="4">
        <f>R209/854</f>
        <v>0.594847775175644</v>
      </c>
      <c r="S210" s="4">
        <f>S209/854</f>
        <v>0.405152224824356</v>
      </c>
      <c r="T210" s="4">
        <f>T209/247</f>
        <v>0.26720647773279355</v>
      </c>
      <c r="U210" s="4">
        <f>U209/247</f>
        <v>0.7327935222672065</v>
      </c>
      <c r="V210" s="4">
        <f>V209/387</f>
        <v>1</v>
      </c>
      <c r="W210" s="4">
        <f>W209/69</f>
        <v>0.2028985507246377</v>
      </c>
      <c r="X210" s="4">
        <f>X209/69</f>
        <v>0.4057971014492754</v>
      </c>
      <c r="Y210" s="4">
        <f>Y209/69</f>
        <v>0.391304347826087</v>
      </c>
    </row>
    <row r="211" spans="2:25" ht="10.5" customHeight="1">
      <c r="B211" s="7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0.5" customHeight="1">
      <c r="A212" s="3" t="s">
        <v>109</v>
      </c>
      <c r="B212" s="7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2:25" ht="10.5" customHeight="1">
      <c r="B213" s="5" t="s">
        <v>91</v>
      </c>
      <c r="C213" s="2">
        <v>989</v>
      </c>
      <c r="D213" s="2">
        <v>2121</v>
      </c>
      <c r="E213" s="2">
        <v>2412</v>
      </c>
      <c r="F213" s="2">
        <v>675</v>
      </c>
      <c r="G213" s="2">
        <v>718</v>
      </c>
      <c r="H213" s="2">
        <v>782</v>
      </c>
      <c r="I213" s="2">
        <v>25262</v>
      </c>
      <c r="J213" s="2">
        <v>315</v>
      </c>
      <c r="K213" s="2">
        <v>491</v>
      </c>
      <c r="L213" s="2">
        <v>5617</v>
      </c>
      <c r="M213" s="2">
        <v>13368</v>
      </c>
      <c r="N213" s="2">
        <v>318</v>
      </c>
      <c r="O213" s="2">
        <v>548</v>
      </c>
      <c r="P213" s="2">
        <v>474</v>
      </c>
      <c r="Q213" s="2">
        <v>261</v>
      </c>
      <c r="R213" s="2">
        <v>204</v>
      </c>
      <c r="S213" s="2">
        <v>205</v>
      </c>
      <c r="T213" s="2">
        <v>29</v>
      </c>
      <c r="U213" s="2">
        <v>57</v>
      </c>
      <c r="V213" s="2">
        <v>104</v>
      </c>
      <c r="W213" s="2">
        <v>6</v>
      </c>
      <c r="X213" s="2">
        <v>35</v>
      </c>
      <c r="Y213" s="2">
        <v>25</v>
      </c>
    </row>
    <row r="214" spans="1:25" ht="10.5" customHeight="1">
      <c r="A214" s="3" t="s">
        <v>123</v>
      </c>
      <c r="C214" s="2">
        <v>989</v>
      </c>
      <c r="D214" s="2">
        <v>2121</v>
      </c>
      <c r="E214" s="2">
        <v>2412</v>
      </c>
      <c r="F214" s="2">
        <v>675</v>
      </c>
      <c r="G214" s="2">
        <v>718</v>
      </c>
      <c r="H214" s="2">
        <v>782</v>
      </c>
      <c r="I214" s="2">
        <v>25262</v>
      </c>
      <c r="J214" s="2">
        <v>315</v>
      </c>
      <c r="K214" s="2">
        <v>491</v>
      </c>
      <c r="L214" s="2">
        <v>5617</v>
      </c>
      <c r="M214" s="2">
        <v>13368</v>
      </c>
      <c r="N214" s="2">
        <v>318</v>
      </c>
      <c r="O214" s="2">
        <v>548</v>
      </c>
      <c r="P214" s="2">
        <v>474</v>
      </c>
      <c r="Q214" s="2">
        <v>261</v>
      </c>
      <c r="R214" s="2">
        <v>204</v>
      </c>
      <c r="S214" s="2">
        <v>205</v>
      </c>
      <c r="T214" s="2">
        <v>29</v>
      </c>
      <c r="U214" s="2">
        <v>57</v>
      </c>
      <c r="V214" s="2">
        <v>104</v>
      </c>
      <c r="W214" s="2">
        <v>6</v>
      </c>
      <c r="X214" s="2">
        <v>35</v>
      </c>
      <c r="Y214" s="2">
        <v>25</v>
      </c>
    </row>
    <row r="215" spans="2:25" s="4" customFormat="1" ht="10.5" customHeight="1">
      <c r="B215" s="6" t="s">
        <v>128</v>
      </c>
      <c r="C215" s="4">
        <f aca="true" t="shared" si="56" ref="C215:I215">C214/32959</f>
        <v>0.030006978367062107</v>
      </c>
      <c r="D215" s="4">
        <f t="shared" si="56"/>
        <v>0.06435268060317365</v>
      </c>
      <c r="E215" s="4">
        <f t="shared" si="56"/>
        <v>0.07318183197305743</v>
      </c>
      <c r="F215" s="4">
        <f t="shared" si="56"/>
        <v>0.020479990290967566</v>
      </c>
      <c r="G215" s="4">
        <f t="shared" si="56"/>
        <v>0.021784641524318093</v>
      </c>
      <c r="H215" s="4">
        <f t="shared" si="56"/>
        <v>0.02372644801116539</v>
      </c>
      <c r="I215" s="4">
        <f t="shared" si="56"/>
        <v>0.7664674292302558</v>
      </c>
      <c r="J215" s="4">
        <f aca="true" t="shared" si="57" ref="J215:Q215">J214/21392</f>
        <v>0.014725130890052356</v>
      </c>
      <c r="K215" s="4">
        <f t="shared" si="57"/>
        <v>0.02295250560957367</v>
      </c>
      <c r="L215" s="4">
        <f t="shared" si="57"/>
        <v>0.262574794315632</v>
      </c>
      <c r="M215" s="4">
        <f t="shared" si="57"/>
        <v>0.62490650710546</v>
      </c>
      <c r="N215" s="4">
        <f t="shared" si="57"/>
        <v>0.01486537023186238</v>
      </c>
      <c r="O215" s="4">
        <f t="shared" si="57"/>
        <v>0.0256170531039641</v>
      </c>
      <c r="P215" s="4">
        <f t="shared" si="57"/>
        <v>0.022157816005983544</v>
      </c>
      <c r="Q215" s="4">
        <f t="shared" si="57"/>
        <v>0.012200822737471952</v>
      </c>
      <c r="R215" s="4">
        <f>R214/409</f>
        <v>0.49877750611246946</v>
      </c>
      <c r="S215" s="4">
        <f>S214/409</f>
        <v>0.5012224938875306</v>
      </c>
      <c r="T215" s="4">
        <f>T214/86</f>
        <v>0.3372093023255814</v>
      </c>
      <c r="U215" s="4">
        <f>U214/86</f>
        <v>0.6627906976744186</v>
      </c>
      <c r="V215" s="4">
        <f>V214/104</f>
        <v>1</v>
      </c>
      <c r="W215" s="4">
        <f>W214/66</f>
        <v>0.09090909090909091</v>
      </c>
      <c r="X215" s="4">
        <f>X214/66</f>
        <v>0.5303030303030303</v>
      </c>
      <c r="Y215" s="4">
        <f>Y214/66</f>
        <v>0.3787878787878788</v>
      </c>
    </row>
    <row r="216" spans="2:25" ht="10.5" customHeight="1">
      <c r="B216" s="7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0.5" customHeight="1">
      <c r="A217" s="3" t="s">
        <v>111</v>
      </c>
      <c r="B217" s="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2:25" ht="10.5" customHeight="1">
      <c r="B218" s="5" t="s">
        <v>110</v>
      </c>
      <c r="C218" s="2">
        <v>596</v>
      </c>
      <c r="D218" s="2">
        <v>704</v>
      </c>
      <c r="E218" s="2">
        <v>1058</v>
      </c>
      <c r="F218" s="2">
        <v>408</v>
      </c>
      <c r="G218" s="2">
        <v>388</v>
      </c>
      <c r="H218" s="2">
        <v>400</v>
      </c>
      <c r="I218" s="2">
        <v>12425</v>
      </c>
      <c r="J218" s="2">
        <v>275</v>
      </c>
      <c r="K218" s="2">
        <v>450</v>
      </c>
      <c r="L218" s="2">
        <v>5868</v>
      </c>
      <c r="M218" s="2">
        <v>13685</v>
      </c>
      <c r="N218" s="2">
        <v>262</v>
      </c>
      <c r="O218" s="2">
        <v>406</v>
      </c>
      <c r="P218" s="2">
        <v>455</v>
      </c>
      <c r="Q218" s="2">
        <v>208</v>
      </c>
      <c r="R218" s="2">
        <v>228</v>
      </c>
      <c r="S218" s="2">
        <v>156</v>
      </c>
      <c r="T218" s="2">
        <v>28</v>
      </c>
      <c r="U218" s="2">
        <v>92</v>
      </c>
      <c r="V218" s="2">
        <v>148</v>
      </c>
      <c r="W218" s="2">
        <v>1</v>
      </c>
      <c r="X218" s="2">
        <v>17</v>
      </c>
      <c r="Y218" s="2">
        <v>17</v>
      </c>
    </row>
    <row r="219" spans="2:25" ht="10.5" customHeight="1">
      <c r="B219" s="5" t="s">
        <v>92</v>
      </c>
      <c r="C219" s="2">
        <v>950</v>
      </c>
      <c r="D219" s="2">
        <v>1256</v>
      </c>
      <c r="E219" s="2">
        <v>1396</v>
      </c>
      <c r="F219" s="2">
        <v>649</v>
      </c>
      <c r="G219" s="2">
        <v>826</v>
      </c>
      <c r="H219" s="2">
        <v>1059</v>
      </c>
      <c r="I219" s="2">
        <v>21018</v>
      </c>
      <c r="J219" s="2">
        <v>772</v>
      </c>
      <c r="K219" s="2">
        <v>1055</v>
      </c>
      <c r="L219" s="2">
        <v>13392</v>
      </c>
      <c r="M219" s="2">
        <v>33650</v>
      </c>
      <c r="N219" s="2">
        <v>549</v>
      </c>
      <c r="O219" s="2">
        <v>1006</v>
      </c>
      <c r="P219" s="2">
        <v>1190</v>
      </c>
      <c r="Q219" s="2">
        <v>486</v>
      </c>
      <c r="R219" s="2">
        <v>590</v>
      </c>
      <c r="S219" s="2">
        <v>411</v>
      </c>
      <c r="T219" s="2">
        <v>37</v>
      </c>
      <c r="U219" s="2">
        <v>161</v>
      </c>
      <c r="V219" s="2">
        <v>282</v>
      </c>
      <c r="W219" s="2">
        <v>10</v>
      </c>
      <c r="X219" s="2">
        <v>19</v>
      </c>
      <c r="Y219" s="2">
        <v>24</v>
      </c>
    </row>
    <row r="220" spans="1:25" ht="10.5" customHeight="1">
      <c r="A220" s="3" t="s">
        <v>123</v>
      </c>
      <c r="C220" s="2">
        <v>1546</v>
      </c>
      <c r="D220" s="2">
        <v>1960</v>
      </c>
      <c r="E220" s="2">
        <v>2454</v>
      </c>
      <c r="F220" s="2">
        <v>1057</v>
      </c>
      <c r="G220" s="2">
        <v>1214</v>
      </c>
      <c r="H220" s="2">
        <v>1459</v>
      </c>
      <c r="I220" s="2">
        <v>33443</v>
      </c>
      <c r="J220" s="2">
        <v>1047</v>
      </c>
      <c r="K220" s="2">
        <v>1505</v>
      </c>
      <c r="L220" s="2">
        <v>19260</v>
      </c>
      <c r="M220" s="2">
        <v>47335</v>
      </c>
      <c r="N220" s="2">
        <v>811</v>
      </c>
      <c r="O220" s="2">
        <v>1412</v>
      </c>
      <c r="P220" s="2">
        <v>1645</v>
      </c>
      <c r="Q220" s="2">
        <v>694</v>
      </c>
      <c r="R220" s="2">
        <v>818</v>
      </c>
      <c r="S220" s="2">
        <v>567</v>
      </c>
      <c r="T220" s="2">
        <v>65</v>
      </c>
      <c r="U220" s="2">
        <v>253</v>
      </c>
      <c r="V220" s="2">
        <v>430</v>
      </c>
      <c r="W220" s="2">
        <v>11</v>
      </c>
      <c r="X220" s="2">
        <v>36</v>
      </c>
      <c r="Y220" s="2">
        <v>41</v>
      </c>
    </row>
    <row r="221" spans="2:25" s="4" customFormat="1" ht="10.5" customHeight="1">
      <c r="B221" s="6" t="s">
        <v>128</v>
      </c>
      <c r="C221" s="4">
        <f aca="true" t="shared" si="58" ref="C221:I221">C220/43133</f>
        <v>0.035842626295411864</v>
      </c>
      <c r="D221" s="4">
        <f t="shared" si="58"/>
        <v>0.04544084575614958</v>
      </c>
      <c r="E221" s="4">
        <f t="shared" si="58"/>
        <v>0.05689379361509749</v>
      </c>
      <c r="F221" s="4">
        <f t="shared" si="58"/>
        <v>0.0245055989613521</v>
      </c>
      <c r="G221" s="4">
        <f t="shared" si="58"/>
        <v>0.02814550344283959</v>
      </c>
      <c r="H221" s="4">
        <f t="shared" si="58"/>
        <v>0.033825609162358286</v>
      </c>
      <c r="I221" s="4">
        <f t="shared" si="58"/>
        <v>0.7753460227667911</v>
      </c>
      <c r="J221" s="4">
        <f aca="true" t="shared" si="59" ref="J221:Q221">J220/73709</f>
        <v>0.014204506912317356</v>
      </c>
      <c r="K221" s="4">
        <f t="shared" si="59"/>
        <v>0.020418130757438032</v>
      </c>
      <c r="L221" s="4">
        <f t="shared" si="59"/>
        <v>0.2612978062380442</v>
      </c>
      <c r="M221" s="4">
        <f t="shared" si="59"/>
        <v>0.6421875211982254</v>
      </c>
      <c r="N221" s="4">
        <f t="shared" si="59"/>
        <v>0.011002726939722422</v>
      </c>
      <c r="O221" s="4">
        <f t="shared" si="59"/>
        <v>0.01915641237840698</v>
      </c>
      <c r="P221" s="4">
        <f t="shared" si="59"/>
        <v>0.022317491758129943</v>
      </c>
      <c r="Q221" s="4">
        <f t="shared" si="59"/>
        <v>0.009415403817715612</v>
      </c>
      <c r="R221" s="4">
        <f>R220/1385</f>
        <v>0.5906137184115523</v>
      </c>
      <c r="S221" s="4">
        <f>S220/1385</f>
        <v>0.40938628158844764</v>
      </c>
      <c r="T221" s="4">
        <f>T220/318</f>
        <v>0.20440251572327045</v>
      </c>
      <c r="U221" s="4">
        <f>U220/318</f>
        <v>0.7955974842767296</v>
      </c>
      <c r="V221" s="4">
        <f>V220/430</f>
        <v>1</v>
      </c>
      <c r="W221" s="4">
        <f>W220/88</f>
        <v>0.125</v>
      </c>
      <c r="X221" s="4">
        <f>X220/88</f>
        <v>0.4090909090909091</v>
      </c>
      <c r="Y221" s="4">
        <f>Y220/88</f>
        <v>0.4659090909090909</v>
      </c>
    </row>
    <row r="222" spans="2:25" ht="10.5" customHeight="1">
      <c r="B222" s="7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0.5" customHeight="1">
      <c r="A223" s="3" t="s">
        <v>112</v>
      </c>
      <c r="B223" s="7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2:25" ht="10.5" customHeight="1">
      <c r="B224" s="5" t="s">
        <v>91</v>
      </c>
      <c r="C224" s="2">
        <v>107</v>
      </c>
      <c r="D224" s="2">
        <v>450</v>
      </c>
      <c r="E224" s="2">
        <v>320</v>
      </c>
      <c r="F224" s="2">
        <v>82</v>
      </c>
      <c r="G224" s="2">
        <v>75</v>
      </c>
      <c r="H224" s="2">
        <v>130</v>
      </c>
      <c r="I224" s="2">
        <v>3688</v>
      </c>
      <c r="J224" s="2">
        <v>48</v>
      </c>
      <c r="K224" s="2">
        <v>62</v>
      </c>
      <c r="L224" s="2">
        <v>827</v>
      </c>
      <c r="M224" s="2">
        <v>1764</v>
      </c>
      <c r="N224" s="2">
        <v>34</v>
      </c>
      <c r="O224" s="2">
        <v>89</v>
      </c>
      <c r="P224" s="2">
        <v>77</v>
      </c>
      <c r="Q224" s="2">
        <v>40</v>
      </c>
      <c r="R224" s="2">
        <v>32</v>
      </c>
      <c r="S224" s="2">
        <v>28</v>
      </c>
      <c r="T224" s="2">
        <v>5</v>
      </c>
      <c r="U224" s="2">
        <v>25</v>
      </c>
      <c r="V224" s="2">
        <v>17</v>
      </c>
      <c r="W224" s="2">
        <v>0</v>
      </c>
      <c r="X224" s="2">
        <v>7</v>
      </c>
      <c r="Y224" s="2">
        <v>2</v>
      </c>
    </row>
    <row r="225" spans="2:25" ht="10.5" customHeight="1">
      <c r="B225" s="5" t="s">
        <v>92</v>
      </c>
      <c r="C225" s="2">
        <v>810</v>
      </c>
      <c r="D225" s="2">
        <v>1573</v>
      </c>
      <c r="E225" s="2">
        <v>1662</v>
      </c>
      <c r="F225" s="2">
        <v>454</v>
      </c>
      <c r="G225" s="2">
        <v>536</v>
      </c>
      <c r="H225" s="2">
        <v>892</v>
      </c>
      <c r="I225" s="2">
        <v>17803</v>
      </c>
      <c r="J225" s="2">
        <v>392</v>
      </c>
      <c r="K225" s="2">
        <v>462</v>
      </c>
      <c r="L225" s="2">
        <v>5157</v>
      </c>
      <c r="M225" s="2">
        <v>10114</v>
      </c>
      <c r="N225" s="2">
        <v>238</v>
      </c>
      <c r="O225" s="2">
        <v>508</v>
      </c>
      <c r="P225" s="2">
        <v>498</v>
      </c>
      <c r="Q225" s="2">
        <v>236</v>
      </c>
      <c r="R225" s="2">
        <v>263</v>
      </c>
      <c r="S225" s="2">
        <v>222</v>
      </c>
      <c r="T225" s="2">
        <v>13</v>
      </c>
      <c r="U225" s="2">
        <v>60</v>
      </c>
      <c r="V225" s="2">
        <v>121</v>
      </c>
      <c r="W225" s="2">
        <v>3</v>
      </c>
      <c r="X225" s="2">
        <v>18</v>
      </c>
      <c r="Y225" s="2">
        <v>22</v>
      </c>
    </row>
    <row r="226" spans="1:25" ht="10.5" customHeight="1">
      <c r="A226" s="3" t="s">
        <v>123</v>
      </c>
      <c r="C226" s="2">
        <v>917</v>
      </c>
      <c r="D226" s="2">
        <v>2023</v>
      </c>
      <c r="E226" s="2">
        <v>1982</v>
      </c>
      <c r="F226" s="2">
        <v>536</v>
      </c>
      <c r="G226" s="2">
        <v>611</v>
      </c>
      <c r="H226" s="2">
        <v>1022</v>
      </c>
      <c r="I226" s="2">
        <v>21491</v>
      </c>
      <c r="J226" s="2">
        <v>440</v>
      </c>
      <c r="K226" s="2">
        <v>524</v>
      </c>
      <c r="L226" s="2">
        <v>5984</v>
      </c>
      <c r="M226" s="2">
        <v>11878</v>
      </c>
      <c r="N226" s="2">
        <v>272</v>
      </c>
      <c r="O226" s="2">
        <v>597</v>
      </c>
      <c r="P226" s="2">
        <v>575</v>
      </c>
      <c r="Q226" s="2">
        <v>276</v>
      </c>
      <c r="R226" s="2">
        <v>295</v>
      </c>
      <c r="S226" s="2">
        <v>250</v>
      </c>
      <c r="T226" s="2">
        <v>18</v>
      </c>
      <c r="U226" s="2">
        <v>85</v>
      </c>
      <c r="V226" s="2">
        <v>138</v>
      </c>
      <c r="W226" s="2">
        <v>3</v>
      </c>
      <c r="X226" s="2">
        <v>25</v>
      </c>
      <c r="Y226" s="2">
        <v>24</v>
      </c>
    </row>
    <row r="227" spans="2:25" s="4" customFormat="1" ht="10.5" customHeight="1">
      <c r="B227" s="6" t="s">
        <v>128</v>
      </c>
      <c r="C227" s="4">
        <f aca="true" t="shared" si="60" ref="C227:I227">C226/28582</f>
        <v>0.032083129242180396</v>
      </c>
      <c r="D227" s="4">
        <f t="shared" si="60"/>
        <v>0.07077881183961934</v>
      </c>
      <c r="E227" s="4">
        <f t="shared" si="60"/>
        <v>0.0693443425932405</v>
      </c>
      <c r="F227" s="4">
        <f t="shared" si="60"/>
        <v>0.018753061367294103</v>
      </c>
      <c r="G227" s="4">
        <f t="shared" si="60"/>
        <v>0.021377090476523686</v>
      </c>
      <c r="H227" s="4">
        <f t="shared" si="60"/>
        <v>0.035756769995101814</v>
      </c>
      <c r="I227" s="4">
        <f t="shared" si="60"/>
        <v>0.7519067944860401</v>
      </c>
      <c r="J227" s="4">
        <f aca="true" t="shared" si="61" ref="J227:Q227">J226/20546</f>
        <v>0.021415360654141926</v>
      </c>
      <c r="K227" s="4">
        <f t="shared" si="61"/>
        <v>0.025503747688114475</v>
      </c>
      <c r="L227" s="4">
        <f t="shared" si="61"/>
        <v>0.2912489048963302</v>
      </c>
      <c r="M227" s="4">
        <f t="shared" si="61"/>
        <v>0.5781173951134041</v>
      </c>
      <c r="N227" s="4">
        <f t="shared" si="61"/>
        <v>0.013238586586196827</v>
      </c>
      <c r="O227" s="4">
        <f t="shared" si="61"/>
        <v>0.029056750705733474</v>
      </c>
      <c r="P227" s="4">
        <f t="shared" si="61"/>
        <v>0.02798598267302638</v>
      </c>
      <c r="Q227" s="4">
        <f t="shared" si="61"/>
        <v>0.013433271683052663</v>
      </c>
      <c r="R227" s="4">
        <f>R226/545</f>
        <v>0.5412844036697247</v>
      </c>
      <c r="S227" s="4">
        <f>S226/545</f>
        <v>0.45871559633027525</v>
      </c>
      <c r="T227" s="4">
        <f>T226/103</f>
        <v>0.17475728155339806</v>
      </c>
      <c r="U227" s="4">
        <f>U226/103</f>
        <v>0.8252427184466019</v>
      </c>
      <c r="V227" s="4">
        <f>V226/138</f>
        <v>1</v>
      </c>
      <c r="W227" s="4">
        <f>W226/52</f>
        <v>0.057692307692307696</v>
      </c>
      <c r="X227" s="4">
        <f>X226/52</f>
        <v>0.4807692307692308</v>
      </c>
      <c r="Y227" s="4">
        <f>Y226/52</f>
        <v>0.46153846153846156</v>
      </c>
    </row>
    <row r="228" spans="2:25" ht="10.5" customHeight="1">
      <c r="B228" s="7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0.5" customHeight="1">
      <c r="A229" s="3" t="s">
        <v>113</v>
      </c>
      <c r="B229" s="7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2:25" ht="10.5" customHeight="1">
      <c r="B230" s="5" t="s">
        <v>107</v>
      </c>
      <c r="C230" s="2">
        <v>1490</v>
      </c>
      <c r="D230" s="2">
        <v>2205</v>
      </c>
      <c r="E230" s="2">
        <v>1941</v>
      </c>
      <c r="F230" s="2">
        <v>766</v>
      </c>
      <c r="G230" s="2">
        <v>1083</v>
      </c>
      <c r="H230" s="2">
        <v>1473</v>
      </c>
      <c r="I230" s="2">
        <v>33839</v>
      </c>
      <c r="J230" s="2">
        <v>1101</v>
      </c>
      <c r="K230" s="2">
        <v>1023</v>
      </c>
      <c r="L230" s="2">
        <v>28744</v>
      </c>
      <c r="M230" s="2">
        <v>72737</v>
      </c>
      <c r="N230" s="2">
        <v>1037</v>
      </c>
      <c r="O230" s="2">
        <v>1910</v>
      </c>
      <c r="P230" s="2">
        <v>1260</v>
      </c>
      <c r="Q230" s="2">
        <v>669</v>
      </c>
      <c r="R230" s="2">
        <v>635</v>
      </c>
      <c r="S230" s="2">
        <v>462</v>
      </c>
      <c r="T230" s="2">
        <v>61</v>
      </c>
      <c r="U230" s="2">
        <v>224</v>
      </c>
      <c r="V230" s="2">
        <v>722</v>
      </c>
      <c r="W230" s="2">
        <v>8</v>
      </c>
      <c r="X230" s="2">
        <v>22</v>
      </c>
      <c r="Y230" s="2">
        <v>36</v>
      </c>
    </row>
    <row r="231" spans="1:25" ht="10.5" customHeight="1">
      <c r="A231" s="3" t="s">
        <v>123</v>
      </c>
      <c r="C231" s="2">
        <v>1490</v>
      </c>
      <c r="D231" s="2">
        <v>2205</v>
      </c>
      <c r="E231" s="2">
        <v>1941</v>
      </c>
      <c r="F231" s="2">
        <v>766</v>
      </c>
      <c r="G231" s="2">
        <v>1083</v>
      </c>
      <c r="H231" s="2">
        <v>1473</v>
      </c>
      <c r="I231" s="2">
        <v>33839</v>
      </c>
      <c r="J231" s="2">
        <v>1101</v>
      </c>
      <c r="K231" s="2">
        <v>1023</v>
      </c>
      <c r="L231" s="2">
        <v>28744</v>
      </c>
      <c r="M231" s="2">
        <v>72737</v>
      </c>
      <c r="N231" s="2">
        <v>1037</v>
      </c>
      <c r="O231" s="2">
        <v>1910</v>
      </c>
      <c r="P231" s="2">
        <v>1260</v>
      </c>
      <c r="Q231" s="2">
        <v>669</v>
      </c>
      <c r="R231" s="2">
        <v>635</v>
      </c>
      <c r="S231" s="2">
        <v>462</v>
      </c>
      <c r="T231" s="2">
        <v>61</v>
      </c>
      <c r="U231" s="2">
        <v>224</v>
      </c>
      <c r="V231" s="2">
        <v>722</v>
      </c>
      <c r="W231" s="2">
        <v>8</v>
      </c>
      <c r="X231" s="2">
        <v>22</v>
      </c>
      <c r="Y231" s="2">
        <v>36</v>
      </c>
    </row>
    <row r="232" spans="2:25" s="4" customFormat="1" ht="10.5" customHeight="1">
      <c r="B232" s="6" t="s">
        <v>128</v>
      </c>
      <c r="C232" s="4">
        <f aca="true" t="shared" si="62" ref="C232:I232">C231/42799</f>
        <v>0.03481389752097012</v>
      </c>
      <c r="D232" s="4">
        <f t="shared" si="62"/>
        <v>0.05151989532465712</v>
      </c>
      <c r="E232" s="4">
        <f t="shared" si="62"/>
        <v>0.045351526904834225</v>
      </c>
      <c r="F232" s="4">
        <f t="shared" si="62"/>
        <v>0.017897614430243697</v>
      </c>
      <c r="G232" s="4">
        <f t="shared" si="62"/>
        <v>0.02530432954040982</v>
      </c>
      <c r="H232" s="4">
        <f t="shared" si="62"/>
        <v>0.03441669197878455</v>
      </c>
      <c r="I232" s="4">
        <f t="shared" si="62"/>
        <v>0.7906493142363139</v>
      </c>
      <c r="J232" s="4">
        <f aca="true" t="shared" si="63" ref="J232:Q232">J231/108482</f>
        <v>0.010149149167603842</v>
      </c>
      <c r="K232" s="4">
        <f t="shared" si="63"/>
        <v>0.009430135875076049</v>
      </c>
      <c r="L232" s="4">
        <f t="shared" si="63"/>
        <v>0.26496561641562655</v>
      </c>
      <c r="M232" s="4">
        <f t="shared" si="63"/>
        <v>0.6704983315204366</v>
      </c>
      <c r="N232" s="4">
        <f t="shared" si="63"/>
        <v>0.009559189542965653</v>
      </c>
      <c r="O232" s="4">
        <f t="shared" si="63"/>
        <v>0.017606607547795947</v>
      </c>
      <c r="P232" s="4">
        <f t="shared" si="63"/>
        <v>0.011614830110064343</v>
      </c>
      <c r="Q232" s="4">
        <f t="shared" si="63"/>
        <v>0.006166921701296068</v>
      </c>
      <c r="R232" s="4">
        <f>R231/1097</f>
        <v>0.5788514129443938</v>
      </c>
      <c r="S232" s="4">
        <f>S231/1097</f>
        <v>0.4211485870556062</v>
      </c>
      <c r="T232" s="4">
        <f>T231/285</f>
        <v>0.21403508771929824</v>
      </c>
      <c r="U232" s="4">
        <f>U231/285</f>
        <v>0.7859649122807018</v>
      </c>
      <c r="V232" s="4">
        <f>V231/722</f>
        <v>1</v>
      </c>
      <c r="W232" s="4">
        <f>W231/66</f>
        <v>0.12121212121212122</v>
      </c>
      <c r="X232" s="4">
        <f>X231/66</f>
        <v>0.3333333333333333</v>
      </c>
      <c r="Y232" s="4">
        <f>Y231/66</f>
        <v>0.5454545454545454</v>
      </c>
    </row>
    <row r="233" spans="2:25" ht="10.5" customHeight="1">
      <c r="B233" s="7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0.5" customHeight="1">
      <c r="A234" s="3" t="s">
        <v>114</v>
      </c>
      <c r="B234" s="7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2:25" ht="10.5" customHeight="1">
      <c r="B235" s="5" t="s">
        <v>107</v>
      </c>
      <c r="C235" s="2">
        <v>1501</v>
      </c>
      <c r="D235" s="2">
        <v>2515</v>
      </c>
      <c r="E235" s="2">
        <v>2339</v>
      </c>
      <c r="F235" s="2">
        <v>692</v>
      </c>
      <c r="G235" s="2">
        <v>678</v>
      </c>
      <c r="H235" s="2">
        <v>1210</v>
      </c>
      <c r="I235" s="2">
        <v>18235</v>
      </c>
      <c r="J235" s="2">
        <v>530</v>
      </c>
      <c r="K235" s="2">
        <v>697</v>
      </c>
      <c r="L235" s="2">
        <v>8697</v>
      </c>
      <c r="M235" s="2">
        <v>17807</v>
      </c>
      <c r="N235" s="2">
        <v>587</v>
      </c>
      <c r="O235" s="2">
        <v>936</v>
      </c>
      <c r="P235" s="2">
        <v>875</v>
      </c>
      <c r="Q235" s="2">
        <v>963</v>
      </c>
      <c r="R235" s="2">
        <v>280</v>
      </c>
      <c r="S235" s="2">
        <v>229</v>
      </c>
      <c r="T235" s="2">
        <v>32</v>
      </c>
      <c r="U235" s="2">
        <v>86</v>
      </c>
      <c r="V235" s="2">
        <v>225</v>
      </c>
      <c r="W235" s="2">
        <v>5</v>
      </c>
      <c r="X235" s="2">
        <v>28</v>
      </c>
      <c r="Y235" s="2">
        <v>47</v>
      </c>
    </row>
    <row r="236" spans="1:25" ht="10.5" customHeight="1">
      <c r="A236" s="3" t="s">
        <v>123</v>
      </c>
      <c r="C236" s="2">
        <v>1501</v>
      </c>
      <c r="D236" s="2">
        <v>2515</v>
      </c>
      <c r="E236" s="2">
        <v>2339</v>
      </c>
      <c r="F236" s="2">
        <v>692</v>
      </c>
      <c r="G236" s="2">
        <v>678</v>
      </c>
      <c r="H236" s="2">
        <v>1210</v>
      </c>
      <c r="I236" s="2">
        <v>18235</v>
      </c>
      <c r="J236" s="2">
        <v>530</v>
      </c>
      <c r="K236" s="2">
        <v>697</v>
      </c>
      <c r="L236" s="2">
        <v>8697</v>
      </c>
      <c r="M236" s="2">
        <v>17807</v>
      </c>
      <c r="N236" s="2">
        <v>587</v>
      </c>
      <c r="O236" s="2">
        <v>936</v>
      </c>
      <c r="P236" s="2">
        <v>875</v>
      </c>
      <c r="Q236" s="2">
        <v>963</v>
      </c>
      <c r="R236" s="2">
        <v>280</v>
      </c>
      <c r="S236" s="2">
        <v>229</v>
      </c>
      <c r="T236" s="2">
        <v>32</v>
      </c>
      <c r="U236" s="2">
        <v>86</v>
      </c>
      <c r="V236" s="2">
        <v>225</v>
      </c>
      <c r="W236" s="2">
        <v>5</v>
      </c>
      <c r="X236" s="2">
        <v>28</v>
      </c>
      <c r="Y236" s="2">
        <v>47</v>
      </c>
    </row>
    <row r="237" spans="2:25" s="4" customFormat="1" ht="10.5" customHeight="1">
      <c r="B237" s="6" t="s">
        <v>128</v>
      </c>
      <c r="C237" s="4">
        <f aca="true" t="shared" si="64" ref="C237:I237">C236/27171</f>
        <v>0.05524272201980052</v>
      </c>
      <c r="D237" s="4">
        <f t="shared" si="64"/>
        <v>0.09256192263810681</v>
      </c>
      <c r="E237" s="4">
        <f t="shared" si="64"/>
        <v>0.08608442825070847</v>
      </c>
      <c r="F237" s="4">
        <f t="shared" si="64"/>
        <v>0.025468330204997974</v>
      </c>
      <c r="G237" s="4">
        <f t="shared" si="64"/>
        <v>0.024953074969636745</v>
      </c>
      <c r="H237" s="4">
        <f t="shared" si="64"/>
        <v>0.044532773913363514</v>
      </c>
      <c r="I237" s="4">
        <f t="shared" si="64"/>
        <v>0.671119944058003</v>
      </c>
      <c r="J237" s="4">
        <f aca="true" t="shared" si="65" ref="J237:Q237">J236/31092</f>
        <v>0.017046185513958576</v>
      </c>
      <c r="K237" s="4">
        <f t="shared" si="65"/>
        <v>0.02241734208156439</v>
      </c>
      <c r="L237" s="4">
        <f t="shared" si="65"/>
        <v>0.279718255499807</v>
      </c>
      <c r="M237" s="4">
        <f t="shared" si="65"/>
        <v>0.5727196706548309</v>
      </c>
      <c r="N237" s="4">
        <f t="shared" si="65"/>
        <v>0.018879454522063552</v>
      </c>
      <c r="O237" s="4">
        <f t="shared" si="65"/>
        <v>0.03010420686993439</v>
      </c>
      <c r="P237" s="4">
        <f t="shared" si="65"/>
        <v>0.028142287405120286</v>
      </c>
      <c r="Q237" s="4">
        <f t="shared" si="65"/>
        <v>0.030972597452720955</v>
      </c>
      <c r="R237" s="4">
        <f>R236/509</f>
        <v>0.550098231827112</v>
      </c>
      <c r="S237" s="4">
        <f>S236/509</f>
        <v>0.449901768172888</v>
      </c>
      <c r="T237" s="4">
        <f>T236/118</f>
        <v>0.2711864406779661</v>
      </c>
      <c r="U237" s="4">
        <f>U236/118</f>
        <v>0.7288135593220338</v>
      </c>
      <c r="V237" s="4">
        <f>V236/225</f>
        <v>1</v>
      </c>
      <c r="W237" s="4">
        <f>W236/80</f>
        <v>0.0625</v>
      </c>
      <c r="X237" s="4">
        <f>X236/80</f>
        <v>0.35</v>
      </c>
      <c r="Y237" s="4">
        <f>Y236/80</f>
        <v>0.5875</v>
      </c>
    </row>
    <row r="238" spans="2:25" ht="10.5" customHeight="1">
      <c r="B238" s="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0.5" customHeight="1">
      <c r="A239" s="3" t="s">
        <v>115</v>
      </c>
      <c r="B239" s="7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2:25" ht="10.5" customHeight="1">
      <c r="B240" s="5" t="s">
        <v>107</v>
      </c>
      <c r="C240" s="2">
        <v>1272</v>
      </c>
      <c r="D240" s="2">
        <v>2617</v>
      </c>
      <c r="E240" s="2">
        <v>2284</v>
      </c>
      <c r="F240" s="2">
        <v>817</v>
      </c>
      <c r="G240" s="2">
        <v>1115</v>
      </c>
      <c r="H240" s="2">
        <v>1837</v>
      </c>
      <c r="I240" s="2">
        <v>38603</v>
      </c>
      <c r="J240" s="2">
        <v>1089</v>
      </c>
      <c r="K240" s="2">
        <v>1057</v>
      </c>
      <c r="L240" s="2">
        <v>26270</v>
      </c>
      <c r="M240" s="2">
        <v>71411</v>
      </c>
      <c r="N240" s="2">
        <v>907</v>
      </c>
      <c r="O240" s="2">
        <v>1730</v>
      </c>
      <c r="P240" s="2">
        <v>1064</v>
      </c>
      <c r="Q240" s="2">
        <v>1074</v>
      </c>
      <c r="R240" s="2">
        <v>658</v>
      </c>
      <c r="S240" s="2">
        <v>475</v>
      </c>
      <c r="T240" s="2">
        <v>89</v>
      </c>
      <c r="U240" s="2">
        <v>226</v>
      </c>
      <c r="V240" s="2">
        <v>741</v>
      </c>
      <c r="W240" s="2">
        <v>10</v>
      </c>
      <c r="X240" s="2">
        <v>27</v>
      </c>
      <c r="Y240" s="2">
        <v>37</v>
      </c>
    </row>
    <row r="241" spans="1:25" ht="10.5" customHeight="1">
      <c r="A241" s="3" t="s">
        <v>123</v>
      </c>
      <c r="C241" s="2">
        <v>1272</v>
      </c>
      <c r="D241" s="2">
        <v>2617</v>
      </c>
      <c r="E241" s="2">
        <v>2284</v>
      </c>
      <c r="F241" s="2">
        <v>817</v>
      </c>
      <c r="G241" s="2">
        <v>1115</v>
      </c>
      <c r="H241" s="2">
        <v>1837</v>
      </c>
      <c r="I241" s="2">
        <v>38603</v>
      </c>
      <c r="J241" s="2">
        <v>1089</v>
      </c>
      <c r="K241" s="2">
        <v>1057</v>
      </c>
      <c r="L241" s="2">
        <v>26270</v>
      </c>
      <c r="M241" s="2">
        <v>71411</v>
      </c>
      <c r="N241" s="2">
        <v>907</v>
      </c>
      <c r="O241" s="2">
        <v>1730</v>
      </c>
      <c r="P241" s="2">
        <v>1064</v>
      </c>
      <c r="Q241" s="2">
        <v>1074</v>
      </c>
      <c r="R241" s="2">
        <v>658</v>
      </c>
      <c r="S241" s="2">
        <v>475</v>
      </c>
      <c r="T241" s="2">
        <v>89</v>
      </c>
      <c r="U241" s="2">
        <v>226</v>
      </c>
      <c r="V241" s="2">
        <v>741</v>
      </c>
      <c r="W241" s="2">
        <v>10</v>
      </c>
      <c r="X241" s="2">
        <v>27</v>
      </c>
      <c r="Y241" s="2">
        <v>37</v>
      </c>
    </row>
    <row r="242" spans="2:25" s="4" customFormat="1" ht="10.5" customHeight="1">
      <c r="B242" s="6" t="s">
        <v>128</v>
      </c>
      <c r="C242" s="4">
        <f aca="true" t="shared" si="66" ref="C242:I242">C241/48546</f>
        <v>0.026201952787047338</v>
      </c>
      <c r="D242" s="4">
        <f t="shared" si="66"/>
        <v>0.05390763399662176</v>
      </c>
      <c r="E242" s="4">
        <f t="shared" si="66"/>
        <v>0.04704816050755984</v>
      </c>
      <c r="F242" s="4">
        <f t="shared" si="66"/>
        <v>0.016829398920611378</v>
      </c>
      <c r="G242" s="4">
        <f t="shared" si="66"/>
        <v>0.022967906727639764</v>
      </c>
      <c r="H242" s="4">
        <f t="shared" si="66"/>
        <v>0.03784039879701726</v>
      </c>
      <c r="I242" s="4">
        <f t="shared" si="66"/>
        <v>0.795183949244016</v>
      </c>
      <c r="J242" s="4">
        <f aca="true" t="shared" si="67" ref="J242:Q242">J241/104602</f>
        <v>0.010410890805147129</v>
      </c>
      <c r="K242" s="4">
        <f t="shared" si="67"/>
        <v>0.010104969312250243</v>
      </c>
      <c r="L242" s="4">
        <f t="shared" si="67"/>
        <v>0.2511424255750368</v>
      </c>
      <c r="M242" s="4">
        <f t="shared" si="67"/>
        <v>0.6826924915393587</v>
      </c>
      <c r="N242" s="4">
        <f t="shared" si="67"/>
        <v>0.008670962314296093</v>
      </c>
      <c r="O242" s="4">
        <f t="shared" si="67"/>
        <v>0.016538880709737865</v>
      </c>
      <c r="P242" s="4">
        <f t="shared" si="67"/>
        <v>0.010171889638821437</v>
      </c>
      <c r="Q242" s="4">
        <f t="shared" si="67"/>
        <v>0.010267490105351714</v>
      </c>
      <c r="R242" s="4">
        <f>R241/1133</f>
        <v>0.5807590467784642</v>
      </c>
      <c r="S242" s="4">
        <f>S241/1133</f>
        <v>0.41924095322153576</v>
      </c>
      <c r="T242" s="4">
        <f>T241/315</f>
        <v>0.28253968253968254</v>
      </c>
      <c r="U242" s="4">
        <f>U241/315</f>
        <v>0.7174603174603175</v>
      </c>
      <c r="V242" s="4">
        <f>V241/741</f>
        <v>1</v>
      </c>
      <c r="W242" s="4">
        <f>W241/74</f>
        <v>0.13513513513513514</v>
      </c>
      <c r="X242" s="4">
        <f>X241/74</f>
        <v>0.36486486486486486</v>
      </c>
      <c r="Y242" s="4">
        <f>Y241/74</f>
        <v>0.5</v>
      </c>
    </row>
    <row r="243" spans="2:25" ht="10.5" customHeight="1">
      <c r="B243" s="7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0.5" customHeight="1">
      <c r="A244" s="3" t="s">
        <v>117</v>
      </c>
      <c r="B244" s="7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2:25" ht="10.5" customHeight="1">
      <c r="B245" s="5" t="s">
        <v>110</v>
      </c>
      <c r="C245" s="2">
        <v>304</v>
      </c>
      <c r="D245" s="2">
        <v>458</v>
      </c>
      <c r="E245" s="2">
        <v>478</v>
      </c>
      <c r="F245" s="2">
        <v>260</v>
      </c>
      <c r="G245" s="2">
        <v>180</v>
      </c>
      <c r="H245" s="2">
        <v>269</v>
      </c>
      <c r="I245" s="2">
        <v>6490</v>
      </c>
      <c r="J245" s="2">
        <v>249</v>
      </c>
      <c r="K245" s="2">
        <v>448</v>
      </c>
      <c r="L245" s="2">
        <v>6883</v>
      </c>
      <c r="M245" s="2">
        <v>16820</v>
      </c>
      <c r="N245" s="2">
        <v>258</v>
      </c>
      <c r="O245" s="2">
        <v>680</v>
      </c>
      <c r="P245" s="2">
        <v>365</v>
      </c>
      <c r="Q245" s="2">
        <v>164</v>
      </c>
      <c r="R245" s="2">
        <v>226</v>
      </c>
      <c r="S245" s="2">
        <v>161</v>
      </c>
      <c r="T245" s="2">
        <v>16</v>
      </c>
      <c r="U245" s="2">
        <v>37</v>
      </c>
      <c r="V245" s="2">
        <v>110</v>
      </c>
      <c r="W245" s="2">
        <v>0</v>
      </c>
      <c r="X245" s="2">
        <v>1</v>
      </c>
      <c r="Y245" s="2">
        <v>14</v>
      </c>
    </row>
    <row r="246" spans="2:25" ht="10.5" customHeight="1">
      <c r="B246" s="5" t="s">
        <v>116</v>
      </c>
      <c r="C246" s="2">
        <v>1071</v>
      </c>
      <c r="D246" s="2">
        <v>2744</v>
      </c>
      <c r="E246" s="2">
        <v>1659</v>
      </c>
      <c r="F246" s="2">
        <v>521</v>
      </c>
      <c r="G246" s="2">
        <v>944</v>
      </c>
      <c r="H246" s="2">
        <v>1436</v>
      </c>
      <c r="I246" s="2">
        <v>32183</v>
      </c>
      <c r="J246" s="2">
        <v>1126</v>
      </c>
      <c r="K246" s="2">
        <v>1064</v>
      </c>
      <c r="L246" s="2">
        <v>25734</v>
      </c>
      <c r="M246" s="2">
        <v>56563</v>
      </c>
      <c r="N246" s="2">
        <v>881</v>
      </c>
      <c r="O246" s="2">
        <v>4559</v>
      </c>
      <c r="P246" s="2">
        <v>1052</v>
      </c>
      <c r="Q246" s="2">
        <v>740</v>
      </c>
      <c r="R246" s="2">
        <v>804</v>
      </c>
      <c r="S246" s="2">
        <v>473</v>
      </c>
      <c r="T246" s="2">
        <v>53</v>
      </c>
      <c r="U246" s="2">
        <v>184</v>
      </c>
      <c r="V246" s="2">
        <v>587</v>
      </c>
      <c r="W246" s="2">
        <v>10</v>
      </c>
      <c r="X246" s="2">
        <v>24</v>
      </c>
      <c r="Y246" s="2">
        <v>33</v>
      </c>
    </row>
    <row r="247" spans="1:25" ht="10.5" customHeight="1">
      <c r="A247" s="3" t="s">
        <v>123</v>
      </c>
      <c r="C247" s="2">
        <v>1375</v>
      </c>
      <c r="D247" s="2">
        <v>3202</v>
      </c>
      <c r="E247" s="2">
        <v>2137</v>
      </c>
      <c r="F247" s="2">
        <v>781</v>
      </c>
      <c r="G247" s="2">
        <v>1124</v>
      </c>
      <c r="H247" s="2">
        <v>1705</v>
      </c>
      <c r="I247" s="2">
        <v>38673</v>
      </c>
      <c r="J247" s="2">
        <v>1375</v>
      </c>
      <c r="K247" s="2">
        <v>1512</v>
      </c>
      <c r="L247" s="2">
        <v>32617</v>
      </c>
      <c r="M247" s="2">
        <v>73383</v>
      </c>
      <c r="N247" s="2">
        <v>1139</v>
      </c>
      <c r="O247" s="2">
        <v>5239</v>
      </c>
      <c r="P247" s="2">
        <v>1417</v>
      </c>
      <c r="Q247" s="2">
        <v>904</v>
      </c>
      <c r="R247" s="2">
        <v>1030</v>
      </c>
      <c r="S247" s="2">
        <v>634</v>
      </c>
      <c r="T247" s="2">
        <v>69</v>
      </c>
      <c r="U247" s="2">
        <v>221</v>
      </c>
      <c r="V247" s="2">
        <v>697</v>
      </c>
      <c r="W247" s="2">
        <v>10</v>
      </c>
      <c r="X247" s="2">
        <v>25</v>
      </c>
      <c r="Y247" s="2">
        <v>47</v>
      </c>
    </row>
    <row r="248" spans="2:25" s="4" customFormat="1" ht="10.5" customHeight="1">
      <c r="B248" s="6" t="s">
        <v>128</v>
      </c>
      <c r="C248" s="4">
        <f aca="true" t="shared" si="68" ref="C248:I248">C247/48997</f>
        <v>0.02806294262914056</v>
      </c>
      <c r="D248" s="4">
        <f t="shared" si="68"/>
        <v>0.06535093985346041</v>
      </c>
      <c r="E248" s="4">
        <f t="shared" si="68"/>
        <v>0.04361491519888973</v>
      </c>
      <c r="F248" s="4">
        <f t="shared" si="68"/>
        <v>0.015939751413351837</v>
      </c>
      <c r="G248" s="4">
        <f t="shared" si="68"/>
        <v>0.022940180011021084</v>
      </c>
      <c r="H248" s="4">
        <f t="shared" si="68"/>
        <v>0.034798048860134295</v>
      </c>
      <c r="I248" s="4">
        <f t="shared" si="68"/>
        <v>0.7892932220340021</v>
      </c>
      <c r="J248" s="4">
        <f aca="true" t="shared" si="69" ref="J248:Q248">J247/117586</f>
        <v>0.011693568962291429</v>
      </c>
      <c r="K248" s="4">
        <f t="shared" si="69"/>
        <v>0.012858673651625194</v>
      </c>
      <c r="L248" s="4">
        <f t="shared" si="69"/>
        <v>0.2773884646131342</v>
      </c>
      <c r="M248" s="4">
        <f t="shared" si="69"/>
        <v>0.6240793972071506</v>
      </c>
      <c r="N248" s="4">
        <f t="shared" si="69"/>
        <v>0.009686527307672683</v>
      </c>
      <c r="O248" s="4">
        <f t="shared" si="69"/>
        <v>0.044554623849778034</v>
      </c>
      <c r="P248" s="4">
        <f t="shared" si="69"/>
        <v>0.012050754341503241</v>
      </c>
      <c r="Q248" s="4">
        <f t="shared" si="69"/>
        <v>0.0076879900668446926</v>
      </c>
      <c r="R248" s="4">
        <f>R247/1664</f>
        <v>0.6189903846153846</v>
      </c>
      <c r="S248" s="4">
        <f>S247/1664</f>
        <v>0.38100961538461536</v>
      </c>
      <c r="T248" s="4">
        <f>T247/290</f>
        <v>0.23793103448275862</v>
      </c>
      <c r="U248" s="4">
        <f>U247/290</f>
        <v>0.7620689655172413</v>
      </c>
      <c r="V248" s="4">
        <f>V247/697</f>
        <v>1</v>
      </c>
      <c r="W248" s="4">
        <f>W247/82</f>
        <v>0.12195121951219512</v>
      </c>
      <c r="X248" s="4">
        <f>X247/82</f>
        <v>0.3048780487804878</v>
      </c>
      <c r="Y248" s="4">
        <f>Y247/82</f>
        <v>0.573170731707317</v>
      </c>
    </row>
    <row r="249" spans="2:25" ht="10.5" customHeight="1">
      <c r="B249" s="7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0.5" customHeight="1">
      <c r="A250" s="3" t="s">
        <v>118</v>
      </c>
      <c r="B250" s="7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2:25" ht="10.5" customHeight="1">
      <c r="B251" s="5" t="s">
        <v>110</v>
      </c>
      <c r="C251" s="2">
        <v>1786</v>
      </c>
      <c r="D251" s="2">
        <v>2070</v>
      </c>
      <c r="E251" s="2">
        <v>2660</v>
      </c>
      <c r="F251" s="2">
        <v>944</v>
      </c>
      <c r="G251" s="2">
        <v>1070</v>
      </c>
      <c r="H251" s="2">
        <v>1226</v>
      </c>
      <c r="I251" s="2">
        <v>38180</v>
      </c>
      <c r="J251" s="2">
        <v>1010</v>
      </c>
      <c r="K251" s="2">
        <v>1326</v>
      </c>
      <c r="L251" s="2">
        <v>19408</v>
      </c>
      <c r="M251" s="2">
        <v>56743</v>
      </c>
      <c r="N251" s="2">
        <v>955</v>
      </c>
      <c r="O251" s="2">
        <v>1435</v>
      </c>
      <c r="P251" s="2">
        <v>1722</v>
      </c>
      <c r="Q251" s="2">
        <v>582</v>
      </c>
      <c r="R251" s="2">
        <v>819</v>
      </c>
      <c r="S251" s="2">
        <v>593</v>
      </c>
      <c r="T251" s="2">
        <v>43</v>
      </c>
      <c r="U251" s="2">
        <v>136</v>
      </c>
      <c r="V251" s="2">
        <v>425</v>
      </c>
      <c r="W251" s="2">
        <v>12</v>
      </c>
      <c r="X251" s="2">
        <v>26</v>
      </c>
      <c r="Y251" s="2">
        <v>36</v>
      </c>
    </row>
    <row r="252" spans="1:25" ht="10.5" customHeight="1">
      <c r="A252" s="3" t="s">
        <v>123</v>
      </c>
      <c r="C252" s="2">
        <v>1786</v>
      </c>
      <c r="D252" s="2">
        <v>2070</v>
      </c>
      <c r="E252" s="2">
        <v>2660</v>
      </c>
      <c r="F252" s="2">
        <v>944</v>
      </c>
      <c r="G252" s="2">
        <v>1070</v>
      </c>
      <c r="H252" s="2">
        <v>1226</v>
      </c>
      <c r="I252" s="2">
        <v>38180</v>
      </c>
      <c r="J252" s="2">
        <v>1010</v>
      </c>
      <c r="K252" s="2">
        <v>1326</v>
      </c>
      <c r="L252" s="2">
        <v>19408</v>
      </c>
      <c r="M252" s="2">
        <v>56743</v>
      </c>
      <c r="N252" s="2">
        <v>955</v>
      </c>
      <c r="O252" s="2">
        <v>1435</v>
      </c>
      <c r="P252" s="2">
        <v>1722</v>
      </c>
      <c r="Q252" s="2">
        <v>582</v>
      </c>
      <c r="R252" s="2">
        <v>819</v>
      </c>
      <c r="S252" s="2">
        <v>593</v>
      </c>
      <c r="T252" s="2">
        <v>43</v>
      </c>
      <c r="U252" s="2">
        <v>136</v>
      </c>
      <c r="V252" s="2">
        <v>425</v>
      </c>
      <c r="W252" s="2">
        <v>12</v>
      </c>
      <c r="X252" s="2">
        <v>26</v>
      </c>
      <c r="Y252" s="2">
        <v>36</v>
      </c>
    </row>
    <row r="253" spans="2:25" s="4" customFormat="1" ht="10.5" customHeight="1">
      <c r="B253" s="6" t="s">
        <v>128</v>
      </c>
      <c r="C253" s="4">
        <f aca="true" t="shared" si="70" ref="C253:I253">C252/47936</f>
        <v>0.03725801068090788</v>
      </c>
      <c r="D253" s="4">
        <f t="shared" si="70"/>
        <v>0.043182576769025365</v>
      </c>
      <c r="E253" s="4">
        <f t="shared" si="70"/>
        <v>0.055490654205607476</v>
      </c>
      <c r="F253" s="4">
        <f t="shared" si="70"/>
        <v>0.019692923898531375</v>
      </c>
      <c r="G253" s="4">
        <f t="shared" si="70"/>
        <v>0.022321428571428572</v>
      </c>
      <c r="H253" s="4">
        <f t="shared" si="70"/>
        <v>0.025575767690253673</v>
      </c>
      <c r="I253" s="4">
        <f t="shared" si="70"/>
        <v>0.7964786381842457</v>
      </c>
      <c r="J253" s="4">
        <f aca="true" t="shared" si="71" ref="J253:Q253">J252/83181</f>
        <v>0.012142195934167658</v>
      </c>
      <c r="K253" s="4">
        <f t="shared" si="71"/>
        <v>0.01594114040465972</v>
      </c>
      <c r="L253" s="4">
        <f t="shared" si="71"/>
        <v>0.23332251355477812</v>
      </c>
      <c r="M253" s="4">
        <f t="shared" si="71"/>
        <v>0.682162993952946</v>
      </c>
      <c r="N253" s="4">
        <f t="shared" si="71"/>
        <v>0.01148098724468328</v>
      </c>
      <c r="O253" s="4">
        <f t="shared" si="71"/>
        <v>0.01725153580745603</v>
      </c>
      <c r="P253" s="4">
        <f t="shared" si="71"/>
        <v>0.020701842968947236</v>
      </c>
      <c r="Q253" s="4">
        <f t="shared" si="71"/>
        <v>0.0069967901323619575</v>
      </c>
      <c r="R253" s="4">
        <f>R252/1412</f>
        <v>0.580028328611898</v>
      </c>
      <c r="S253" s="4">
        <f>S252/1412</f>
        <v>0.419971671388102</v>
      </c>
      <c r="T253" s="4">
        <f>T252/179</f>
        <v>0.24022346368715083</v>
      </c>
      <c r="U253" s="4">
        <f>U252/179</f>
        <v>0.7597765363128491</v>
      </c>
      <c r="V253" s="4">
        <f>V252/425</f>
        <v>1</v>
      </c>
      <c r="W253" s="4">
        <f>W252/74</f>
        <v>0.16216216216216217</v>
      </c>
      <c r="X253" s="4">
        <f>X252/74</f>
        <v>0.35135135135135137</v>
      </c>
      <c r="Y253" s="4">
        <f>Y252/74</f>
        <v>0.4864864864864865</v>
      </c>
    </row>
    <row r="254" spans="2:25" ht="10.5" customHeight="1"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0.5" customHeight="1">
      <c r="A255" s="3" t="s">
        <v>119</v>
      </c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2:25" ht="10.5" customHeight="1">
      <c r="B256" s="5" t="s">
        <v>107</v>
      </c>
      <c r="C256" s="2">
        <v>115</v>
      </c>
      <c r="D256" s="2">
        <v>233</v>
      </c>
      <c r="E256" s="2">
        <v>168</v>
      </c>
      <c r="F256" s="2">
        <v>110</v>
      </c>
      <c r="G256" s="2">
        <v>73</v>
      </c>
      <c r="H256" s="2">
        <v>151</v>
      </c>
      <c r="I256" s="2">
        <v>3684</v>
      </c>
      <c r="J256" s="2">
        <v>87</v>
      </c>
      <c r="K256" s="2">
        <v>97</v>
      </c>
      <c r="L256" s="2">
        <v>3472</v>
      </c>
      <c r="M256" s="2">
        <v>9152</v>
      </c>
      <c r="N256" s="2">
        <v>114</v>
      </c>
      <c r="O256" s="2">
        <v>339</v>
      </c>
      <c r="P256" s="2">
        <v>120</v>
      </c>
      <c r="Q256" s="2">
        <v>69</v>
      </c>
      <c r="R256" s="2">
        <v>95</v>
      </c>
      <c r="S256" s="2">
        <v>45</v>
      </c>
      <c r="T256" s="2">
        <v>9</v>
      </c>
      <c r="U256" s="2">
        <v>29</v>
      </c>
      <c r="V256" s="2">
        <v>76</v>
      </c>
      <c r="W256" s="2">
        <v>2</v>
      </c>
      <c r="X256" s="2">
        <v>3</v>
      </c>
      <c r="Y256" s="2">
        <v>2</v>
      </c>
    </row>
    <row r="257" spans="2:25" ht="10.5" customHeight="1">
      <c r="B257" s="5" t="s">
        <v>116</v>
      </c>
      <c r="C257" s="2">
        <v>952</v>
      </c>
      <c r="D257" s="2">
        <v>3078</v>
      </c>
      <c r="E257" s="2">
        <v>1690</v>
      </c>
      <c r="F257" s="2">
        <v>667</v>
      </c>
      <c r="G257" s="2">
        <v>760</v>
      </c>
      <c r="H257" s="2">
        <v>1223</v>
      </c>
      <c r="I257" s="2">
        <v>36569</v>
      </c>
      <c r="J257" s="2">
        <v>852</v>
      </c>
      <c r="K257" s="2">
        <v>1055</v>
      </c>
      <c r="L257" s="2">
        <v>22026</v>
      </c>
      <c r="M257" s="2">
        <v>58010</v>
      </c>
      <c r="N257" s="2">
        <v>772</v>
      </c>
      <c r="O257" s="2">
        <v>3873</v>
      </c>
      <c r="P257" s="2">
        <v>787</v>
      </c>
      <c r="Q257" s="2">
        <v>708</v>
      </c>
      <c r="R257" s="2">
        <v>773</v>
      </c>
      <c r="S257" s="2">
        <v>495</v>
      </c>
      <c r="T257" s="2">
        <v>72</v>
      </c>
      <c r="U257" s="2">
        <v>253</v>
      </c>
      <c r="V257" s="2">
        <v>570</v>
      </c>
      <c r="W257" s="2">
        <v>18</v>
      </c>
      <c r="X257" s="2">
        <v>22</v>
      </c>
      <c r="Y257" s="2">
        <v>24</v>
      </c>
    </row>
    <row r="258" spans="1:25" ht="10.5" customHeight="1">
      <c r="A258" s="3" t="s">
        <v>123</v>
      </c>
      <c r="C258" s="2">
        <v>1067</v>
      </c>
      <c r="D258" s="2">
        <v>3311</v>
      </c>
      <c r="E258" s="2">
        <v>1858</v>
      </c>
      <c r="F258" s="2">
        <v>777</v>
      </c>
      <c r="G258" s="2">
        <v>833</v>
      </c>
      <c r="H258" s="2">
        <v>1374</v>
      </c>
      <c r="I258" s="2">
        <v>40253</v>
      </c>
      <c r="J258" s="2">
        <v>939</v>
      </c>
      <c r="K258" s="2">
        <v>1152</v>
      </c>
      <c r="L258" s="2">
        <v>25498</v>
      </c>
      <c r="M258" s="2">
        <v>67162</v>
      </c>
      <c r="N258" s="2">
        <v>886</v>
      </c>
      <c r="O258" s="2">
        <v>4212</v>
      </c>
      <c r="P258" s="2">
        <v>907</v>
      </c>
      <c r="Q258" s="2">
        <v>777</v>
      </c>
      <c r="R258" s="2">
        <v>868</v>
      </c>
      <c r="S258" s="2">
        <v>540</v>
      </c>
      <c r="T258" s="2">
        <v>81</v>
      </c>
      <c r="U258" s="2">
        <v>282</v>
      </c>
      <c r="V258" s="2">
        <v>646</v>
      </c>
      <c r="W258" s="2">
        <v>20</v>
      </c>
      <c r="X258" s="2">
        <v>25</v>
      </c>
      <c r="Y258" s="2">
        <v>26</v>
      </c>
    </row>
    <row r="259" spans="2:25" s="4" customFormat="1" ht="10.5" customHeight="1">
      <c r="B259" s="6" t="s">
        <v>128</v>
      </c>
      <c r="C259" s="4">
        <f aca="true" t="shared" si="72" ref="C259:I259">C258/49474</f>
        <v>0.021566883615636495</v>
      </c>
      <c r="D259" s="4">
        <f t="shared" si="72"/>
        <v>0.06692404091037717</v>
      </c>
      <c r="E259" s="4">
        <f t="shared" si="72"/>
        <v>0.03755507943566318</v>
      </c>
      <c r="F259" s="4">
        <f t="shared" si="72"/>
        <v>0.015705218902858066</v>
      </c>
      <c r="G259" s="4">
        <f t="shared" si="72"/>
        <v>0.016837126571532524</v>
      </c>
      <c r="H259" s="4">
        <f t="shared" si="72"/>
        <v>0.027772163156405384</v>
      </c>
      <c r="I259" s="4">
        <f t="shared" si="72"/>
        <v>0.8136192747705866</v>
      </c>
      <c r="J259" s="4">
        <f aca="true" t="shared" si="73" ref="J259:Q259">J258/101533</f>
        <v>0.009248224715117253</v>
      </c>
      <c r="K259" s="4">
        <f t="shared" si="73"/>
        <v>0.011346064826214136</v>
      </c>
      <c r="L259" s="4">
        <f t="shared" si="73"/>
        <v>0.2511301744260487</v>
      </c>
      <c r="M259" s="4">
        <f t="shared" si="73"/>
        <v>0.6614795189741266</v>
      </c>
      <c r="N259" s="4">
        <f t="shared" si="73"/>
        <v>0.008726226940994553</v>
      </c>
      <c r="O259" s="4">
        <f t="shared" si="73"/>
        <v>0.04148404952084544</v>
      </c>
      <c r="P259" s="4">
        <f t="shared" si="73"/>
        <v>0.008933056247722415</v>
      </c>
      <c r="Q259" s="4">
        <f t="shared" si="73"/>
        <v>0.007652684348930889</v>
      </c>
      <c r="R259" s="4">
        <f>R258/1408</f>
        <v>0.6164772727272727</v>
      </c>
      <c r="S259" s="4">
        <f>S258/1408</f>
        <v>0.3835227272727273</v>
      </c>
      <c r="T259" s="4">
        <f>T258/363</f>
        <v>0.2231404958677686</v>
      </c>
      <c r="U259" s="4">
        <f>U258/363</f>
        <v>0.7768595041322314</v>
      </c>
      <c r="V259" s="4">
        <f>V258/646</f>
        <v>1</v>
      </c>
      <c r="W259" s="4">
        <f>W258/71</f>
        <v>0.28169014084507044</v>
      </c>
      <c r="X259" s="4">
        <f>X258/71</f>
        <v>0.352112676056338</v>
      </c>
      <c r="Y259" s="4">
        <f>Y258/71</f>
        <v>0.36619718309859156</v>
      </c>
    </row>
    <row r="260" spans="2:25" ht="10.5" customHeight="1">
      <c r="B260" s="7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0.5" customHeight="1">
      <c r="A261" s="3" t="s">
        <v>120</v>
      </c>
      <c r="B261" s="7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2:25" ht="10.5" customHeight="1">
      <c r="B262" s="5" t="s">
        <v>116</v>
      </c>
      <c r="C262" s="2">
        <v>1449</v>
      </c>
      <c r="D262" s="2">
        <v>4083</v>
      </c>
      <c r="E262" s="2">
        <v>1732</v>
      </c>
      <c r="F262" s="2">
        <v>864</v>
      </c>
      <c r="G262" s="2">
        <v>1070</v>
      </c>
      <c r="H262" s="2">
        <v>1449</v>
      </c>
      <c r="I262" s="2">
        <v>56778</v>
      </c>
      <c r="J262" s="2">
        <v>974</v>
      </c>
      <c r="K262" s="2">
        <v>832</v>
      </c>
      <c r="L262" s="2">
        <v>15628</v>
      </c>
      <c r="M262" s="2">
        <v>40208</v>
      </c>
      <c r="N262" s="2">
        <v>598</v>
      </c>
      <c r="O262" s="2">
        <v>2170</v>
      </c>
      <c r="P262" s="2">
        <v>661</v>
      </c>
      <c r="Q262" s="2">
        <v>752</v>
      </c>
      <c r="R262" s="2">
        <v>632</v>
      </c>
      <c r="S262" s="2">
        <v>455</v>
      </c>
      <c r="T262" s="2">
        <v>129</v>
      </c>
      <c r="U262" s="2">
        <v>426</v>
      </c>
      <c r="V262" s="2">
        <v>671</v>
      </c>
      <c r="W262" s="2">
        <v>10</v>
      </c>
      <c r="X262" s="2">
        <v>49</v>
      </c>
      <c r="Y262" s="2">
        <v>53</v>
      </c>
    </row>
    <row r="263" spans="1:25" ht="10.5" customHeight="1">
      <c r="A263" s="3" t="s">
        <v>123</v>
      </c>
      <c r="C263" s="2">
        <v>1449</v>
      </c>
      <c r="D263" s="2">
        <v>4083</v>
      </c>
      <c r="E263" s="2">
        <v>1732</v>
      </c>
      <c r="F263" s="2">
        <v>864</v>
      </c>
      <c r="G263" s="2">
        <v>1070</v>
      </c>
      <c r="H263" s="2">
        <v>1449</v>
      </c>
      <c r="I263" s="2">
        <v>56778</v>
      </c>
      <c r="J263" s="2">
        <v>974</v>
      </c>
      <c r="K263" s="2">
        <v>832</v>
      </c>
      <c r="L263" s="2">
        <v>15628</v>
      </c>
      <c r="M263" s="2">
        <v>40208</v>
      </c>
      <c r="N263" s="2">
        <v>598</v>
      </c>
      <c r="O263" s="2">
        <v>2170</v>
      </c>
      <c r="P263" s="2">
        <v>661</v>
      </c>
      <c r="Q263" s="2">
        <v>752</v>
      </c>
      <c r="R263" s="2">
        <v>632</v>
      </c>
      <c r="S263" s="2">
        <v>455</v>
      </c>
      <c r="T263" s="2">
        <v>129</v>
      </c>
      <c r="U263" s="2">
        <v>426</v>
      </c>
      <c r="V263" s="2">
        <v>671</v>
      </c>
      <c r="W263" s="2">
        <v>10</v>
      </c>
      <c r="X263" s="2">
        <v>49</v>
      </c>
      <c r="Y263" s="2">
        <v>53</v>
      </c>
    </row>
    <row r="264" spans="2:25" s="4" customFormat="1" ht="10.5" customHeight="1">
      <c r="B264" s="6" t="s">
        <v>128</v>
      </c>
      <c r="C264" s="4">
        <f aca="true" t="shared" si="74" ref="C264:I264">C263/67425</f>
        <v>0.021490545050055616</v>
      </c>
      <c r="D264" s="4">
        <f t="shared" si="74"/>
        <v>0.06055617352614016</v>
      </c>
      <c r="E264" s="4">
        <f t="shared" si="74"/>
        <v>0.025687801260659993</v>
      </c>
      <c r="F264" s="4">
        <f t="shared" si="74"/>
        <v>0.012814238042269189</v>
      </c>
      <c r="G264" s="4">
        <f t="shared" si="74"/>
        <v>0.015869484612532445</v>
      </c>
      <c r="H264" s="4">
        <f t="shared" si="74"/>
        <v>0.021490545050055616</v>
      </c>
      <c r="I264" s="4">
        <f t="shared" si="74"/>
        <v>0.842091212458287</v>
      </c>
      <c r="J264" s="4">
        <f aca="true" t="shared" si="75" ref="J264:Q264">J263/61823</f>
        <v>0.015754654416641055</v>
      </c>
      <c r="K264" s="4">
        <f t="shared" si="75"/>
        <v>0.013457774614625625</v>
      </c>
      <c r="L264" s="4">
        <f t="shared" si="75"/>
        <v>0.2527861799006842</v>
      </c>
      <c r="M264" s="4">
        <f t="shared" si="75"/>
        <v>0.6503728385875807</v>
      </c>
      <c r="N264" s="4">
        <f t="shared" si="75"/>
        <v>0.009672775504262168</v>
      </c>
      <c r="O264" s="4">
        <f t="shared" si="75"/>
        <v>0.03510020542516539</v>
      </c>
      <c r="P264" s="4">
        <f t="shared" si="75"/>
        <v>0.0106918137262831</v>
      </c>
      <c r="Q264" s="4">
        <f t="shared" si="75"/>
        <v>0.012163757824757777</v>
      </c>
      <c r="R264" s="4">
        <f>R263/1087</f>
        <v>0.5814167433302668</v>
      </c>
      <c r="S264" s="4">
        <f>S263/1087</f>
        <v>0.41858325666973323</v>
      </c>
      <c r="T264" s="4">
        <f>T263/555</f>
        <v>0.23243243243243245</v>
      </c>
      <c r="U264" s="4">
        <f>U263/555</f>
        <v>0.7675675675675676</v>
      </c>
      <c r="V264" s="4">
        <f>V263/671</f>
        <v>1</v>
      </c>
      <c r="W264" s="4">
        <f>W263/112</f>
        <v>0.08928571428571429</v>
      </c>
      <c r="X264" s="4">
        <f>X263/112</f>
        <v>0.4375</v>
      </c>
      <c r="Y264" s="4">
        <f>Y263/112</f>
        <v>0.4732142857142857</v>
      </c>
    </row>
    <row r="265" spans="2:25" ht="10.5" customHeight="1">
      <c r="B265" s="7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0.5" customHeight="1">
      <c r="A266" s="3" t="s">
        <v>122</v>
      </c>
      <c r="B266" s="7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2:25" ht="10.5" customHeight="1">
      <c r="B267" s="5" t="s">
        <v>121</v>
      </c>
      <c r="C267" s="2">
        <v>330</v>
      </c>
      <c r="D267" s="2">
        <v>809</v>
      </c>
      <c r="E267" s="2">
        <v>1390</v>
      </c>
      <c r="F267" s="2">
        <v>345</v>
      </c>
      <c r="G267" s="2">
        <v>118</v>
      </c>
      <c r="H267" s="2">
        <v>220</v>
      </c>
      <c r="I267" s="2">
        <v>4607</v>
      </c>
      <c r="J267" s="2">
        <v>128</v>
      </c>
      <c r="K267" s="2">
        <v>232</v>
      </c>
      <c r="L267" s="2">
        <v>1005</v>
      </c>
      <c r="M267" s="2">
        <v>3526</v>
      </c>
      <c r="N267" s="2">
        <v>208</v>
      </c>
      <c r="O267" s="2">
        <v>288</v>
      </c>
      <c r="P267" s="2">
        <v>95</v>
      </c>
      <c r="Q267" s="2">
        <v>80</v>
      </c>
      <c r="R267" s="2">
        <v>73</v>
      </c>
      <c r="S267" s="2">
        <v>81</v>
      </c>
      <c r="T267" s="2">
        <v>9</v>
      </c>
      <c r="U267" s="2">
        <v>7</v>
      </c>
      <c r="V267" s="2">
        <v>29</v>
      </c>
      <c r="W267" s="2">
        <v>1</v>
      </c>
      <c r="X267" s="2">
        <v>9</v>
      </c>
      <c r="Y267" s="2">
        <v>4</v>
      </c>
    </row>
    <row r="268" spans="2:25" ht="10.5" customHeight="1">
      <c r="B268" s="5" t="s">
        <v>110</v>
      </c>
      <c r="C268" s="2">
        <v>229</v>
      </c>
      <c r="D268" s="2">
        <v>442</v>
      </c>
      <c r="E268" s="2">
        <v>738</v>
      </c>
      <c r="F268" s="2">
        <v>241</v>
      </c>
      <c r="G268" s="2">
        <v>118</v>
      </c>
      <c r="H268" s="2">
        <v>161</v>
      </c>
      <c r="I268" s="2">
        <v>6374</v>
      </c>
      <c r="J268" s="2">
        <v>99</v>
      </c>
      <c r="K268" s="2">
        <v>195</v>
      </c>
      <c r="L268" s="2">
        <v>1801</v>
      </c>
      <c r="M268" s="2">
        <v>5970</v>
      </c>
      <c r="N268" s="2">
        <v>141</v>
      </c>
      <c r="O268" s="2">
        <v>152</v>
      </c>
      <c r="P268" s="2">
        <v>270</v>
      </c>
      <c r="Q268" s="2">
        <v>83</v>
      </c>
      <c r="R268" s="2">
        <v>84</v>
      </c>
      <c r="S268" s="2">
        <v>75</v>
      </c>
      <c r="T268" s="2">
        <v>8</v>
      </c>
      <c r="U268" s="2">
        <v>18</v>
      </c>
      <c r="V268" s="2">
        <v>33</v>
      </c>
      <c r="W268" s="2">
        <v>2</v>
      </c>
      <c r="X268" s="2">
        <v>5</v>
      </c>
      <c r="Y268" s="2">
        <v>3</v>
      </c>
    </row>
    <row r="269" spans="2:25" ht="10.5" customHeight="1">
      <c r="B269" s="5" t="s">
        <v>116</v>
      </c>
      <c r="C269" s="2">
        <v>1213</v>
      </c>
      <c r="D269" s="2">
        <v>3232</v>
      </c>
      <c r="E269" s="2">
        <v>2608</v>
      </c>
      <c r="F269" s="2">
        <v>612</v>
      </c>
      <c r="G269" s="2">
        <v>561</v>
      </c>
      <c r="H269" s="2">
        <v>714</v>
      </c>
      <c r="I269" s="2">
        <v>23328</v>
      </c>
      <c r="J269" s="2">
        <v>455</v>
      </c>
      <c r="K269" s="2">
        <v>490</v>
      </c>
      <c r="L269" s="2">
        <v>6849</v>
      </c>
      <c r="M269" s="2">
        <v>15568</v>
      </c>
      <c r="N269" s="2">
        <v>382</v>
      </c>
      <c r="O269" s="2">
        <v>1066</v>
      </c>
      <c r="P269" s="2">
        <v>619</v>
      </c>
      <c r="Q269" s="2">
        <v>382</v>
      </c>
      <c r="R269" s="2">
        <v>359</v>
      </c>
      <c r="S269" s="2">
        <v>243</v>
      </c>
      <c r="T269" s="2">
        <v>30</v>
      </c>
      <c r="U269" s="2">
        <v>108</v>
      </c>
      <c r="V269" s="2">
        <v>154</v>
      </c>
      <c r="W269" s="2">
        <v>8</v>
      </c>
      <c r="X269" s="2">
        <v>37</v>
      </c>
      <c r="Y269" s="2">
        <v>16</v>
      </c>
    </row>
    <row r="270" spans="1:25" ht="10.5" customHeight="1">
      <c r="A270" s="3" t="s">
        <v>123</v>
      </c>
      <c r="C270" s="2">
        <v>1772</v>
      </c>
      <c r="D270" s="2">
        <v>4483</v>
      </c>
      <c r="E270" s="2">
        <v>4736</v>
      </c>
      <c r="F270" s="2">
        <v>1198</v>
      </c>
      <c r="G270" s="2">
        <v>797</v>
      </c>
      <c r="H270" s="2">
        <v>1095</v>
      </c>
      <c r="I270" s="2">
        <v>34309</v>
      </c>
      <c r="J270" s="2">
        <v>682</v>
      </c>
      <c r="K270" s="2">
        <v>917</v>
      </c>
      <c r="L270" s="2">
        <v>9655</v>
      </c>
      <c r="M270" s="2">
        <v>25064</v>
      </c>
      <c r="N270" s="2">
        <v>731</v>
      </c>
      <c r="O270" s="2">
        <v>1506</v>
      </c>
      <c r="P270" s="2">
        <v>984</v>
      </c>
      <c r="Q270" s="2">
        <v>545</v>
      </c>
      <c r="R270" s="2">
        <v>516</v>
      </c>
      <c r="S270" s="2">
        <v>399</v>
      </c>
      <c r="T270" s="2">
        <v>47</v>
      </c>
      <c r="U270" s="2">
        <v>133</v>
      </c>
      <c r="V270" s="2">
        <v>216</v>
      </c>
      <c r="W270" s="2">
        <v>11</v>
      </c>
      <c r="X270" s="2">
        <v>51</v>
      </c>
      <c r="Y270" s="2">
        <v>23</v>
      </c>
    </row>
    <row r="271" spans="2:25" s="4" customFormat="1" ht="10.5" customHeight="1">
      <c r="B271" s="6" t="s">
        <v>128</v>
      </c>
      <c r="C271" s="4">
        <f aca="true" t="shared" si="76" ref="C271:I271">C270/48390</f>
        <v>0.03661913618516222</v>
      </c>
      <c r="D271" s="4">
        <f t="shared" si="76"/>
        <v>0.09264310808018185</v>
      </c>
      <c r="E271" s="4">
        <f t="shared" si="76"/>
        <v>0.0978714610456706</v>
      </c>
      <c r="F271" s="4">
        <f t="shared" si="76"/>
        <v>0.02475718123579252</v>
      </c>
      <c r="G271" s="4">
        <f t="shared" si="76"/>
        <v>0.016470345112626576</v>
      </c>
      <c r="H271" s="4">
        <f t="shared" si="76"/>
        <v>0.02262864228146311</v>
      </c>
      <c r="I271" s="4">
        <f t="shared" si="76"/>
        <v>0.7090101260591031</v>
      </c>
      <c r="J271" s="4">
        <f aca="true" t="shared" si="77" ref="J271:Q271">J270/40084</f>
        <v>0.017014270032930844</v>
      </c>
      <c r="K271" s="4">
        <f t="shared" si="77"/>
        <v>0.022876958387386487</v>
      </c>
      <c r="L271" s="4">
        <f t="shared" si="77"/>
        <v>0.24086917473306058</v>
      </c>
      <c r="M271" s="4">
        <f t="shared" si="77"/>
        <v>0.625286897515218</v>
      </c>
      <c r="N271" s="4">
        <f t="shared" si="77"/>
        <v>0.018236702923859895</v>
      </c>
      <c r="O271" s="4">
        <f t="shared" si="77"/>
        <v>0.037571100688554036</v>
      </c>
      <c r="P271" s="4">
        <f t="shared" si="77"/>
        <v>0.024548448258656822</v>
      </c>
      <c r="Q271" s="4">
        <f t="shared" si="77"/>
        <v>0.0135964474603333</v>
      </c>
      <c r="R271" s="4">
        <f>R270/915</f>
        <v>0.5639344262295082</v>
      </c>
      <c r="S271" s="4">
        <f>S270/915</f>
        <v>0.4360655737704918</v>
      </c>
      <c r="T271" s="4">
        <f>T270/180</f>
        <v>0.2611111111111111</v>
      </c>
      <c r="U271" s="4">
        <f>U270/180</f>
        <v>0.7388888888888889</v>
      </c>
      <c r="V271" s="4">
        <f>V270/216</f>
        <v>1</v>
      </c>
      <c r="W271" s="4">
        <f>W270/85</f>
        <v>0.12941176470588237</v>
      </c>
      <c r="X271" s="4">
        <f>X270/85</f>
        <v>0.6</v>
      </c>
      <c r="Y271" s="4">
        <f>Y270/85</f>
        <v>0.27058823529411763</v>
      </c>
    </row>
    <row r="272" spans="2:25" ht="10.5" customHeight="1">
      <c r="B272" s="7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2:25" ht="10.5" customHeight="1">
      <c r="B273" s="7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</sheetData>
  <printOptions/>
  <pageMargins left="0.8999999999999999" right="0.8999999999999999" top="1" bottom="0.8" header="0.3" footer="0.3"/>
  <pageSetup firstPageNumber="127" useFirstPageNumber="1" fitToHeight="0" fitToWidth="0" horizontalDpi="600" verticalDpi="600" orientation="portrait" r:id="rId1"/>
  <headerFooter alignWithMargins="0">
    <oddHeader>&amp;C&amp;"Arial,Bold"&amp;11Supplement to the Statement of Vote
Counties by Senate Districts for Governor</oddHeader>
    <oddFooter>&amp;C&amp;"Arial,Bold"&amp;8&amp;P</oddFooter>
  </headerFooter>
  <rowBreaks count="4" manualBreakCount="4">
    <brk id="59" max="24" man="1"/>
    <brk id="118" max="24" man="1"/>
    <brk id="179" max="24" man="1"/>
    <brk id="23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Charlene Castaneda</cp:lastModifiedBy>
  <cp:lastPrinted>2013-04-17T18:40:56Z</cp:lastPrinted>
  <dcterms:created xsi:type="dcterms:W3CDTF">2010-11-07T19:00:37Z</dcterms:created>
  <dcterms:modified xsi:type="dcterms:W3CDTF">2013-04-17T18:41:16Z</dcterms:modified>
  <cp:category/>
  <cp:version/>
  <cp:contentType/>
  <cp:contentStatus/>
</cp:coreProperties>
</file>