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'Sheet1'!$A$1:$P$481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<sst xmlns="http://schemas.openxmlformats.org/spreadsheetml/2006/main" count="426" uniqueCount="160">
  <si>
    <t>Barbara Boxer</t>
  </si>
  <si>
    <t>Robert M. "Mickey" Kaus</t>
  </si>
  <si>
    <t>Brian Quintana</t>
  </si>
  <si>
    <t>Chuck DeVore</t>
  </si>
  <si>
    <t>Carly Fiorina</t>
  </si>
  <si>
    <t>Tom Campbell</t>
  </si>
  <si>
    <t>Tim Kalemkarian</t>
  </si>
  <si>
    <t>Don J. Grundmann</t>
  </si>
  <si>
    <t>Edward C. Noonan</t>
  </si>
  <si>
    <t>Duane Roberts</t>
  </si>
  <si>
    <t>Gail K. Lightfoot</t>
  </si>
  <si>
    <t>Marsha Feinland</t>
  </si>
  <si>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</si>
  <si>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</si>
  <si>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</si>
  <si>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</si>
  <si>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</si>
  <si>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</si>
  <si>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</si>
  <si>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</si>
  <si>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</si>
  <si>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</si>
  <si>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Sonoma</t>
  </si>
  <si>
    <t>Trinity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</si>
  <si>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</si>
  <si>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</si>
  <si>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</si>
  <si>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</si>
  <si>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</si>
  <si>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</si>
  <si>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</si>
  <si>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</si>
  <si>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</si>
  <si>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Lassen</t>
  </si>
  <si>
    <t>Nevada</t>
  </si>
  <si>
    <t>Placer</t>
  </si>
  <si>
    <t>Plumas</t>
  </si>
  <si>
    <t>Sierra</t>
  </si>
  <si>
    <t>Yuba</t>
  </si>
  <si>
    <t>Alpine</t>
  </si>
  <si>
    <t>El Dorado</t>
  </si>
  <si>
    <t>Sacramento</t>
  </si>
  <si>
    <t>Marin</t>
  </si>
  <si>
    <t>Napa</t>
  </si>
  <si>
    <t>Solano</t>
  </si>
  <si>
    <t>Amador</t>
  </si>
  <si>
    <t>San Joaquin</t>
  </si>
  <si>
    <t>Contra Costa</t>
  </si>
  <si>
    <t>San Francisco</t>
  </si>
  <si>
    <t>San Mateo</t>
  </si>
  <si>
    <t>Alameda</t>
  </si>
  <si>
    <t>Merced</t>
  </si>
  <si>
    <t>Stanislaus</t>
  </si>
  <si>
    <t>Santa Clara</t>
  </si>
  <si>
    <t>Calaveras</t>
  </si>
  <si>
    <t>Madera</t>
  </si>
  <si>
    <t>Mariposa</t>
  </si>
  <si>
    <t>Mono</t>
  </si>
  <si>
    <t>Tuolumne</t>
  </si>
  <si>
    <t>Monterey</t>
  </si>
  <si>
    <t>Santa Cruz</t>
  </si>
  <si>
    <t>San Benito</t>
  </si>
  <si>
    <t>Fresno</t>
  </si>
  <si>
    <t>Tulare</t>
  </si>
  <si>
    <t>Kern</t>
  </si>
  <si>
    <t>Kings</t>
  </si>
  <si>
    <t>San Bernardino</t>
  </si>
  <si>
    <t>San Luis Obispo</t>
  </si>
  <si>
    <t>Santa Barbara</t>
  </si>
  <si>
    <t>Inyo</t>
  </si>
  <si>
    <t>Ventura</t>
  </si>
  <si>
    <t>Los Angeles</t>
  </si>
  <si>
    <t>Orange</t>
  </si>
  <si>
    <t>Riverside</t>
  </si>
  <si>
    <t>San Diego</t>
  </si>
  <si>
    <t>Imperial</t>
  </si>
  <si>
    <t>District Totals</t>
  </si>
  <si>
    <t xml:space="preserve">State Assembly District 73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</si>
  <si>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</si>
  <si>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</si>
  <si>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</si>
  <si>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</si>
  <si>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</si>
  <si>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</si>
  <si>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 xml:space="preserve">State Assembly District 80 </t>
  </si>
  <si>
    <t xml:space="preserve">State Assembly District 1 </t>
  </si>
  <si>
    <t xml:space="preserve">State Assembly District 2 </t>
  </si>
  <si>
    <t xml:space="preserve">State Assembly District 3 </t>
  </si>
  <si>
    <t xml:space="preserve">State Assembly District 4 </t>
  </si>
  <si>
    <t xml:space="preserve">State Assembly District 5 </t>
  </si>
  <si>
    <t xml:space="preserve">State Assembly District 6 </t>
  </si>
  <si>
    <t xml:space="preserve">State Assembly District 7 </t>
  </si>
  <si>
    <t xml:space="preserve">State Assembly District 8 </t>
  </si>
  <si>
    <t xml:space="preserve">State Assembly District 9 </t>
  </si>
  <si>
    <t xml:space="preserve">State Assembly District 10 </t>
  </si>
  <si>
    <t xml:space="preserve">State Assembly District 11 </t>
  </si>
  <si>
    <t xml:space="preserve">State Assembly District 12 </t>
  </si>
  <si>
    <t xml:space="preserve">State Assembly District 13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</si>
  <si>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</si>
  <si>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</si>
  <si>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</si>
  <si>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17 </t>
  </si>
  <si>
    <t xml:space="preserve">State Assembly District 18 </t>
  </si>
  <si>
    <t xml:space="preserve">State Assembly District 19 </t>
  </si>
  <si>
    <t xml:space="preserve">State Assembly District 20 </t>
  </si>
  <si>
    <t xml:space="preserve">State Assembly District 21 </t>
  </si>
  <si>
    <t xml:space="preserve">State Assembly District 22 </t>
  </si>
  <si>
    <t xml:space="preserve">State Assembly District 23 </t>
  </si>
  <si>
    <t xml:space="preserve">State Assembly District 24 </t>
  </si>
  <si>
    <t xml:space="preserve">State Assembly District 25 </t>
  </si>
  <si>
    <t xml:space="preserve">State Assembly District 26 </t>
  </si>
  <si>
    <t xml:space="preserve">State Assembly District 27 </t>
  </si>
  <si>
    <t xml:space="preserve">State Assembly District 28 </t>
  </si>
  <si>
    <t xml:space="preserve">State Assembly District 29 </t>
  </si>
  <si>
    <t xml:space="preserve">State Assembly District 30 </t>
  </si>
  <si>
    <t xml:space="preserve">State Assembly District 31 </t>
  </si>
  <si>
    <t xml:space="preserve">State Assembly District 32 </t>
  </si>
  <si>
    <t xml:space="preserve">State Assembly District 33 </t>
  </si>
  <si>
    <t xml:space="preserve">State Assembly District 34 </t>
  </si>
  <si>
    <t xml:space="preserve">State Assembly District 35 </t>
  </si>
  <si>
    <t xml:space="preserve">State Assembly District 36 </t>
  </si>
  <si>
    <t xml:space="preserve">State Assembly District 37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</si>
  <si>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</si>
  <si>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</si>
  <si>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</si>
  <si>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</si>
  <si>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</si>
  <si>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</si>
  <si>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</si>
  <si>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</si>
  <si>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</si>
  <si>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</si>
  <si>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</si>
  <si>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</si>
  <si>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</si>
  <si>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</si>
  <si>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</si>
  <si>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</si>
  <si>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</si>
  <si>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</si>
  <si>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</si>
  <si>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</si>
  <si>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</si>
  <si>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</si>
  <si>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</si>
  <si>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</si>
  <si>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State Assembly District 62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</si>
  <si>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</si>
  <si>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</si>
  <si>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</si>
  <si>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</si>
  <si>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</si>
  <si>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</si>
  <si>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</si>
  <si>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</si>
  <si>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</si>
  <si>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</si>
  <si>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>Al            Ramirez</t>
  </si>
  <si>
    <t>Al               Salehi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</si>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</sst>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1"/>
  <sheetViews>
    <sheetView tabSelected="1" showOutlineSymbols="0" view="pageBreakPreview" zoomScaleSheetLayoutView="100" workbookViewId="0" topLeftCell="A1">
      <selection activeCell="B1" sqref="B1:B16384"/>
    </sheetView>
  </sheetViews>
  <sheetFormatPr defaultColWidth="9.140625" defaultRowHeight="12.75" customHeight="1"/>
  <cols>
    <col min="1" max="1" width="2.7109375" style="1" customWidth="1"/>
    <col min="2" max="2" width="20.7109375" style="6" customWidth="1"/>
    <col min="3" max="4" width="7.7109375" style="1" customWidth="1"/>
    <col min="5" max="5" width="7.57421875" style="1" customWidth="1"/>
    <col min="6" max="8" width="7.7109375" style="1" customWidth="1"/>
    <col min="9" max="9" width="8.421875" style="1" customWidth="1"/>
    <col min="10" max="16384" width="7.7109375" style="1" customWidth="1"/>
  </cols>
  <sheetData>
    <row r="1" spans="3:16" s="13" customFormat="1" ht="33" customHeight="1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157</v>
      </c>
      <c r="K1" s="13" t="s">
        <v>7</v>
      </c>
      <c r="L1" s="13" t="s">
        <v>8</v>
      </c>
      <c r="M1" s="13" t="s">
        <v>158</v>
      </c>
      <c r="N1" s="13" t="s">
        <v>9</v>
      </c>
      <c r="O1" s="13" t="s">
        <v>10</v>
      </c>
      <c r="P1" s="13" t="s">
        <v>11</v>
      </c>
    </row>
    <row r="2" spans="3:16" s="12" customFormat="1" ht="9">
      <c r="C2" s="12" t="s">
        <v>12</v>
      </c>
      <c r="D2" s="12" t="s">
        <v>12</v>
      </c>
      <c r="E2" s="12" t="s">
        <v>12</v>
      </c>
      <c r="F2" s="12" t="s">
        <v>13</v>
      </c>
      <c r="G2" s="12" t="s">
        <v>13</v>
      </c>
      <c r="H2" s="12" t="s">
        <v>13</v>
      </c>
      <c r="I2" s="12" t="s">
        <v>13</v>
      </c>
      <c r="J2" s="12" t="s">
        <v>13</v>
      </c>
      <c r="K2" s="12" t="s">
        <v>14</v>
      </c>
      <c r="L2" s="12" t="s">
        <v>14</v>
      </c>
      <c r="M2" s="12" t="s">
        <v>14</v>
      </c>
      <c r="N2" s="12" t="s">
        <v>15</v>
      </c>
      <c r="O2" s="12" t="s">
        <v>16</v>
      </c>
      <c r="P2" s="12" t="s">
        <v>17</v>
      </c>
    </row>
    <row r="3" spans="1:2" s="11" customFormat="1" ht="10.5" customHeight="1">
      <c r="A3" s="9" t="s">
        <v>85</v>
      </c>
      <c r="B3" s="10"/>
    </row>
    <row r="4" spans="2:16" ht="10.5" customHeight="1">
      <c r="B4" s="6" t="s">
        <v>18</v>
      </c>
      <c r="C4" s="2">
        <v>1825</v>
      </c>
      <c r="D4" s="2">
        <v>144</v>
      </c>
      <c r="E4" s="2">
        <v>483</v>
      </c>
      <c r="F4" s="2">
        <v>548</v>
      </c>
      <c r="G4" s="2">
        <v>1379</v>
      </c>
      <c r="H4" s="2">
        <v>586</v>
      </c>
      <c r="I4" s="2">
        <v>49</v>
      </c>
      <c r="J4" s="2">
        <v>86</v>
      </c>
      <c r="K4" s="2">
        <v>41</v>
      </c>
      <c r="L4" s="2">
        <v>45</v>
      </c>
      <c r="M4" s="2">
        <v>25</v>
      </c>
      <c r="N4" s="2">
        <v>20</v>
      </c>
      <c r="O4" s="2">
        <v>20</v>
      </c>
      <c r="P4" s="2">
        <v>7</v>
      </c>
    </row>
    <row r="5" spans="2:16" ht="10.5" customHeight="1">
      <c r="B5" s="6" t="s">
        <v>19</v>
      </c>
      <c r="C5" s="2">
        <v>13619</v>
      </c>
      <c r="D5" s="2">
        <v>654</v>
      </c>
      <c r="E5" s="2">
        <v>2543</v>
      </c>
      <c r="F5" s="2">
        <v>2241</v>
      </c>
      <c r="G5" s="2">
        <v>6071</v>
      </c>
      <c r="H5" s="2">
        <v>2646</v>
      </c>
      <c r="I5" s="2">
        <v>147</v>
      </c>
      <c r="J5" s="2">
        <v>343</v>
      </c>
      <c r="K5" s="2">
        <v>162</v>
      </c>
      <c r="L5" s="2">
        <v>121</v>
      </c>
      <c r="M5" s="2">
        <v>74</v>
      </c>
      <c r="N5" s="2">
        <v>640</v>
      </c>
      <c r="O5" s="2">
        <v>174</v>
      </c>
      <c r="P5" s="2">
        <v>40</v>
      </c>
    </row>
    <row r="6" spans="2:16" ht="10.5" customHeight="1">
      <c r="B6" s="6" t="s">
        <v>20</v>
      </c>
      <c r="C6" s="2">
        <v>5380</v>
      </c>
      <c r="D6" s="2">
        <v>412</v>
      </c>
      <c r="E6" s="2">
        <v>1301</v>
      </c>
      <c r="F6" s="2">
        <v>1572</v>
      </c>
      <c r="G6" s="2">
        <v>2525</v>
      </c>
      <c r="H6" s="2">
        <v>1332</v>
      </c>
      <c r="I6" s="2">
        <v>111</v>
      </c>
      <c r="J6" s="2">
        <v>167</v>
      </c>
      <c r="K6" s="2">
        <v>95</v>
      </c>
      <c r="L6" s="2">
        <v>106</v>
      </c>
      <c r="M6" s="2">
        <v>56</v>
      </c>
      <c r="N6" s="2">
        <v>125</v>
      </c>
      <c r="O6" s="2">
        <v>68</v>
      </c>
      <c r="P6" s="2">
        <v>20</v>
      </c>
    </row>
    <row r="7" spans="2:16" ht="10.5" customHeight="1">
      <c r="B7" s="6" t="s">
        <v>21</v>
      </c>
      <c r="C7" s="2">
        <v>9906</v>
      </c>
      <c r="D7" s="2">
        <v>480</v>
      </c>
      <c r="E7" s="2">
        <v>1377</v>
      </c>
      <c r="F7" s="2">
        <v>893</v>
      </c>
      <c r="G7" s="2">
        <v>2957</v>
      </c>
      <c r="H7" s="2">
        <v>1698</v>
      </c>
      <c r="I7" s="2">
        <v>88</v>
      </c>
      <c r="J7" s="2">
        <v>191</v>
      </c>
      <c r="K7" s="2">
        <v>69</v>
      </c>
      <c r="L7" s="2">
        <v>86</v>
      </c>
      <c r="M7" s="2">
        <v>57</v>
      </c>
      <c r="N7" s="2">
        <v>416</v>
      </c>
      <c r="O7" s="2">
        <v>109</v>
      </c>
      <c r="P7" s="2">
        <v>35</v>
      </c>
    </row>
    <row r="8" spans="2:16" ht="10.5" customHeight="1">
      <c r="B8" s="6" t="s">
        <v>22</v>
      </c>
      <c r="C8" s="2">
        <v>17256</v>
      </c>
      <c r="D8" s="2">
        <v>600</v>
      </c>
      <c r="E8" s="2">
        <v>1972</v>
      </c>
      <c r="F8" s="2">
        <v>2036</v>
      </c>
      <c r="G8" s="2">
        <v>4200</v>
      </c>
      <c r="H8" s="2">
        <v>3227</v>
      </c>
      <c r="I8" s="2">
        <v>98</v>
      </c>
      <c r="J8" s="2">
        <v>200</v>
      </c>
      <c r="K8" s="2">
        <v>68</v>
      </c>
      <c r="L8" s="2">
        <v>101</v>
      </c>
      <c r="M8" s="2">
        <v>72</v>
      </c>
      <c r="N8" s="2">
        <v>422</v>
      </c>
      <c r="O8" s="2">
        <v>136</v>
      </c>
      <c r="P8" s="2">
        <v>59</v>
      </c>
    </row>
    <row r="9" spans="2:16" ht="10.5" customHeight="1">
      <c r="B9" s="6" t="s">
        <v>23</v>
      </c>
      <c r="C9" s="2">
        <v>1130</v>
      </c>
      <c r="D9" s="2">
        <v>95</v>
      </c>
      <c r="E9" s="2">
        <v>382</v>
      </c>
      <c r="F9" s="2">
        <v>352</v>
      </c>
      <c r="G9" s="2">
        <v>806</v>
      </c>
      <c r="H9" s="2">
        <v>519</v>
      </c>
      <c r="I9" s="2">
        <v>32</v>
      </c>
      <c r="J9" s="2">
        <v>61</v>
      </c>
      <c r="K9" s="2">
        <v>25</v>
      </c>
      <c r="L9" s="2">
        <v>38</v>
      </c>
      <c r="M9" s="2">
        <v>21</v>
      </c>
      <c r="N9" s="2">
        <v>38</v>
      </c>
      <c r="O9" s="2">
        <v>32</v>
      </c>
      <c r="P9" s="2">
        <v>4</v>
      </c>
    </row>
    <row r="10" spans="1:16" ht="10.5" customHeight="1">
      <c r="A10" s="4" t="s">
        <v>76</v>
      </c>
      <c r="C10" s="3">
        <v>49116</v>
      </c>
      <c r="D10" s="3">
        <v>2385</v>
      </c>
      <c r="E10" s="3">
        <v>8058</v>
      </c>
      <c r="F10" s="3">
        <v>7642</v>
      </c>
      <c r="G10" s="3">
        <v>17938</v>
      </c>
      <c r="H10" s="3">
        <v>10008</v>
      </c>
      <c r="I10" s="3">
        <v>525</v>
      </c>
      <c r="J10" s="3">
        <v>1048</v>
      </c>
      <c r="K10" s="3">
        <v>460</v>
      </c>
      <c r="L10" s="3">
        <v>497</v>
      </c>
      <c r="M10" s="3">
        <v>305</v>
      </c>
      <c r="N10" s="3">
        <v>1661</v>
      </c>
      <c r="O10" s="3">
        <v>539</v>
      </c>
      <c r="P10" s="3">
        <v>165</v>
      </c>
    </row>
    <row r="11" spans="2:16" s="5" customFormat="1" ht="10.5" customHeight="1">
      <c r="B11" s="7" t="s">
        <v>159</v>
      </c>
      <c r="C11" s="5">
        <f>C10/59559</f>
        <v>0.8246612602629325</v>
      </c>
      <c r="D11" s="5">
        <f>D10/59559</f>
        <v>0.04004432579459024</v>
      </c>
      <c r="E11" s="5">
        <f>E10/59559</f>
        <v>0.1352944139424772</v>
      </c>
      <c r="F11" s="5">
        <f>F10/37161</f>
        <v>0.20564570382928338</v>
      </c>
      <c r="G11" s="5">
        <f>G10/37161</f>
        <v>0.48271036839697534</v>
      </c>
      <c r="H11" s="5">
        <f>H10/37161</f>
        <v>0.2693146040203439</v>
      </c>
      <c r="I11" s="5">
        <f>I10/37161</f>
        <v>0.014127714539436505</v>
      </c>
      <c r="J11" s="5">
        <f>J10/37161</f>
        <v>0.028201609213960872</v>
      </c>
      <c r="K11" s="5">
        <f>K10/1262</f>
        <v>0.36450079239302696</v>
      </c>
      <c r="L11" s="5">
        <f>L10/1262</f>
        <v>0.3938193343898574</v>
      </c>
      <c r="M11" s="5">
        <f>M10/1262</f>
        <v>0.24167987321711568</v>
      </c>
      <c r="N11" s="5">
        <f>N10/1661</f>
        <v>1</v>
      </c>
      <c r="O11" s="5">
        <f>O10/539</f>
        <v>1</v>
      </c>
      <c r="P11" s="5">
        <f>P10/165</f>
        <v>1</v>
      </c>
    </row>
    <row r="12" spans="2:16" ht="10.5" customHeigh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0.5" customHeight="1">
      <c r="A13" s="4" t="s">
        <v>86</v>
      </c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0.5" customHeight="1">
      <c r="B14" s="6" t="s">
        <v>24</v>
      </c>
      <c r="C14" s="2">
        <v>775</v>
      </c>
      <c r="D14" s="2">
        <v>61</v>
      </c>
      <c r="E14" s="2">
        <v>357</v>
      </c>
      <c r="F14" s="2">
        <v>495</v>
      </c>
      <c r="G14" s="2">
        <v>1685</v>
      </c>
      <c r="H14" s="2">
        <v>786</v>
      </c>
      <c r="I14" s="2">
        <v>18</v>
      </c>
      <c r="J14" s="2">
        <v>96</v>
      </c>
      <c r="K14" s="2">
        <v>17</v>
      </c>
      <c r="L14" s="2">
        <v>18</v>
      </c>
      <c r="M14" s="2">
        <v>10</v>
      </c>
      <c r="N14" s="2">
        <v>13</v>
      </c>
      <c r="O14" s="2">
        <v>8</v>
      </c>
      <c r="P14" s="2">
        <v>7</v>
      </c>
    </row>
    <row r="15" spans="2:16" ht="10.5" customHeight="1">
      <c r="B15" s="6" t="s">
        <v>25</v>
      </c>
      <c r="C15" s="2">
        <v>619</v>
      </c>
      <c r="D15" s="2">
        <v>96</v>
      </c>
      <c r="E15" s="2">
        <v>285</v>
      </c>
      <c r="F15" s="2">
        <v>245</v>
      </c>
      <c r="G15" s="2">
        <v>1375</v>
      </c>
      <c r="H15" s="2">
        <v>434</v>
      </c>
      <c r="I15" s="2">
        <v>11</v>
      </c>
      <c r="J15" s="2">
        <v>45</v>
      </c>
      <c r="K15" s="2">
        <v>9</v>
      </c>
      <c r="L15" s="2">
        <v>10</v>
      </c>
      <c r="M15" s="2">
        <v>3</v>
      </c>
      <c r="N15" s="2">
        <v>6</v>
      </c>
      <c r="O15" s="2">
        <v>7</v>
      </c>
      <c r="P15" s="2">
        <v>1</v>
      </c>
    </row>
    <row r="16" spans="2:16" ht="10.5" customHeight="1">
      <c r="B16" s="6" t="s">
        <v>26</v>
      </c>
      <c r="C16" s="2">
        <v>1074</v>
      </c>
      <c r="D16" s="2">
        <v>144</v>
      </c>
      <c r="E16" s="2">
        <v>575</v>
      </c>
      <c r="F16" s="2">
        <v>650</v>
      </c>
      <c r="G16" s="2">
        <v>1782</v>
      </c>
      <c r="H16" s="2">
        <v>955</v>
      </c>
      <c r="I16" s="2">
        <v>30</v>
      </c>
      <c r="J16" s="2">
        <v>114</v>
      </c>
      <c r="K16" s="2">
        <v>30</v>
      </c>
      <c r="L16" s="2">
        <v>36</v>
      </c>
      <c r="M16" s="2">
        <v>15</v>
      </c>
      <c r="N16" s="2">
        <v>17</v>
      </c>
      <c r="O16" s="2">
        <v>21</v>
      </c>
      <c r="P16" s="2">
        <v>3</v>
      </c>
    </row>
    <row r="17" spans="2:16" ht="10.5" customHeight="1">
      <c r="B17" s="6" t="s">
        <v>27</v>
      </c>
      <c r="C17" s="2">
        <v>501</v>
      </c>
      <c r="D17" s="2">
        <v>83</v>
      </c>
      <c r="E17" s="2">
        <v>255</v>
      </c>
      <c r="F17" s="2">
        <v>394</v>
      </c>
      <c r="G17" s="2">
        <v>893</v>
      </c>
      <c r="H17" s="2">
        <v>456</v>
      </c>
      <c r="I17" s="2">
        <v>13</v>
      </c>
      <c r="J17" s="2">
        <v>73</v>
      </c>
      <c r="K17" s="2">
        <v>26</v>
      </c>
      <c r="L17" s="2">
        <v>34</v>
      </c>
      <c r="M17" s="2">
        <v>12</v>
      </c>
      <c r="N17" s="2">
        <v>4</v>
      </c>
      <c r="O17" s="2">
        <v>21</v>
      </c>
      <c r="P17" s="2">
        <v>2</v>
      </c>
    </row>
    <row r="18" spans="2:16" ht="10.5" customHeight="1">
      <c r="B18" s="6" t="s">
        <v>28</v>
      </c>
      <c r="C18" s="2">
        <v>8356</v>
      </c>
      <c r="D18" s="2">
        <v>854</v>
      </c>
      <c r="E18" s="2">
        <v>3224</v>
      </c>
      <c r="F18" s="2">
        <v>5357</v>
      </c>
      <c r="G18" s="2">
        <v>12923</v>
      </c>
      <c r="H18" s="2">
        <v>5532</v>
      </c>
      <c r="I18" s="2">
        <v>231</v>
      </c>
      <c r="J18" s="2">
        <v>737</v>
      </c>
      <c r="K18" s="2">
        <v>160</v>
      </c>
      <c r="L18" s="2">
        <v>174</v>
      </c>
      <c r="M18" s="2">
        <v>105</v>
      </c>
      <c r="N18" s="2">
        <v>98</v>
      </c>
      <c r="O18" s="2">
        <v>164</v>
      </c>
      <c r="P18" s="2">
        <v>24</v>
      </c>
    </row>
    <row r="19" spans="2:16" ht="10.5" customHeight="1">
      <c r="B19" s="6" t="s">
        <v>29</v>
      </c>
      <c r="C19" s="2">
        <v>3140</v>
      </c>
      <c r="D19" s="2">
        <v>256</v>
      </c>
      <c r="E19" s="2">
        <v>1075</v>
      </c>
      <c r="F19" s="2">
        <v>1313</v>
      </c>
      <c r="G19" s="2">
        <v>3543</v>
      </c>
      <c r="H19" s="2">
        <v>1255</v>
      </c>
      <c r="I19" s="2">
        <v>71</v>
      </c>
      <c r="J19" s="2">
        <v>220</v>
      </c>
      <c r="K19" s="2">
        <v>62</v>
      </c>
      <c r="L19" s="2">
        <v>71</v>
      </c>
      <c r="M19" s="2">
        <v>45</v>
      </c>
      <c r="N19" s="2">
        <v>38</v>
      </c>
      <c r="O19" s="2">
        <v>66</v>
      </c>
      <c r="P19" s="2">
        <v>7</v>
      </c>
    </row>
    <row r="20" spans="2:16" ht="10.5" customHeight="1">
      <c r="B20" s="6" t="s">
        <v>30</v>
      </c>
      <c r="C20" s="2">
        <v>3108</v>
      </c>
      <c r="D20" s="2">
        <v>359</v>
      </c>
      <c r="E20" s="2">
        <v>1396</v>
      </c>
      <c r="F20" s="2">
        <v>1547</v>
      </c>
      <c r="G20" s="2">
        <v>6303</v>
      </c>
      <c r="H20" s="2">
        <v>1881</v>
      </c>
      <c r="I20" s="2">
        <v>68</v>
      </c>
      <c r="J20" s="2">
        <v>245</v>
      </c>
      <c r="K20" s="2">
        <v>62</v>
      </c>
      <c r="L20" s="2">
        <v>73</v>
      </c>
      <c r="M20" s="2">
        <v>43</v>
      </c>
      <c r="N20" s="2">
        <v>19</v>
      </c>
      <c r="O20" s="2">
        <v>49</v>
      </c>
      <c r="P20" s="2">
        <v>11</v>
      </c>
    </row>
    <row r="21" spans="2:16" ht="10.5" customHeight="1">
      <c r="B21" s="6" t="s">
        <v>31</v>
      </c>
      <c r="C21" s="2">
        <v>2774</v>
      </c>
      <c r="D21" s="2">
        <v>360</v>
      </c>
      <c r="E21" s="2">
        <v>1455</v>
      </c>
      <c r="F21" s="2">
        <v>1709</v>
      </c>
      <c r="G21" s="2">
        <v>3928</v>
      </c>
      <c r="H21" s="2">
        <v>1851</v>
      </c>
      <c r="I21" s="2">
        <v>85</v>
      </c>
      <c r="J21" s="2">
        <v>298</v>
      </c>
      <c r="K21" s="2">
        <v>116</v>
      </c>
      <c r="L21" s="2">
        <v>125</v>
      </c>
      <c r="M21" s="2">
        <v>79</v>
      </c>
      <c r="N21" s="2">
        <v>24</v>
      </c>
      <c r="O21" s="2">
        <v>72</v>
      </c>
      <c r="P21" s="2">
        <v>10</v>
      </c>
    </row>
    <row r="22" spans="2:16" ht="10.5" customHeight="1">
      <c r="B22" s="6" t="s">
        <v>32</v>
      </c>
      <c r="C22" s="2">
        <v>638</v>
      </c>
      <c r="D22" s="2">
        <v>55</v>
      </c>
      <c r="E22" s="2">
        <v>238</v>
      </c>
      <c r="F22" s="2">
        <v>134</v>
      </c>
      <c r="G22" s="2">
        <v>1000</v>
      </c>
      <c r="H22" s="2">
        <v>247</v>
      </c>
      <c r="I22" s="2">
        <v>8</v>
      </c>
      <c r="J22" s="2">
        <v>36</v>
      </c>
      <c r="K22" s="2">
        <v>9</v>
      </c>
      <c r="L22" s="2">
        <v>11</v>
      </c>
      <c r="M22" s="2">
        <v>5</v>
      </c>
      <c r="N22" s="2">
        <v>10</v>
      </c>
      <c r="O22" s="2">
        <v>8</v>
      </c>
      <c r="P22" s="2">
        <v>0</v>
      </c>
    </row>
    <row r="23" spans="1:16" ht="10.5" customHeight="1">
      <c r="A23" s="4" t="s">
        <v>76</v>
      </c>
      <c r="C23" s="3">
        <v>20985</v>
      </c>
      <c r="D23" s="3">
        <v>2268</v>
      </c>
      <c r="E23" s="3">
        <v>8860</v>
      </c>
      <c r="F23" s="3">
        <v>11844</v>
      </c>
      <c r="G23" s="3">
        <v>33432</v>
      </c>
      <c r="H23" s="3">
        <v>13397</v>
      </c>
      <c r="I23" s="3">
        <v>535</v>
      </c>
      <c r="J23" s="3">
        <v>1864</v>
      </c>
      <c r="K23" s="3">
        <v>491</v>
      </c>
      <c r="L23" s="3">
        <v>552</v>
      </c>
      <c r="M23" s="3">
        <v>317</v>
      </c>
      <c r="N23" s="3">
        <v>229</v>
      </c>
      <c r="O23" s="3">
        <v>416</v>
      </c>
      <c r="P23" s="3">
        <v>65</v>
      </c>
    </row>
    <row r="24" spans="2:16" s="5" customFormat="1" ht="10.5" customHeight="1">
      <c r="B24" s="7" t="s">
        <v>159</v>
      </c>
      <c r="C24" s="5">
        <f>C23/32113</f>
        <v>0.653473671098932</v>
      </c>
      <c r="D24" s="5">
        <f>D23/32113</f>
        <v>0.07062560333821194</v>
      </c>
      <c r="E24" s="5">
        <f>E23/32113</f>
        <v>0.27590072556285616</v>
      </c>
      <c r="F24" s="5">
        <f>F23/61072</f>
        <v>0.19393502750851455</v>
      </c>
      <c r="G24" s="5">
        <f>G23/61072</f>
        <v>0.547419439350275</v>
      </c>
      <c r="H24" s="5">
        <f>H23/61072</f>
        <v>0.2193640293424155</v>
      </c>
      <c r="I24" s="5">
        <f>I23/61072</f>
        <v>0.008760151951794604</v>
      </c>
      <c r="J24" s="5">
        <f>J23/61072</f>
        <v>0.030521351847000264</v>
      </c>
      <c r="K24" s="5">
        <f>K23/1360</f>
        <v>0.3610294117647059</v>
      </c>
      <c r="L24" s="5">
        <f>L23/1360</f>
        <v>0.40588235294117647</v>
      </c>
      <c r="M24" s="5">
        <f>M23/1360</f>
        <v>0.23308823529411765</v>
      </c>
      <c r="N24" s="5">
        <f>N23/229</f>
        <v>1</v>
      </c>
      <c r="O24" s="5">
        <f>O23/416</f>
        <v>1</v>
      </c>
      <c r="P24" s="5">
        <f>P23/65</f>
        <v>1</v>
      </c>
    </row>
    <row r="25" spans="2:16" ht="10.5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5" customHeight="1">
      <c r="A26" s="4" t="s">
        <v>87</v>
      </c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0.5" customHeight="1">
      <c r="B27" s="6" t="s">
        <v>24</v>
      </c>
      <c r="C27" s="2">
        <v>12905</v>
      </c>
      <c r="D27" s="2">
        <v>1107</v>
      </c>
      <c r="E27" s="2">
        <v>3181</v>
      </c>
      <c r="F27" s="2">
        <v>4350</v>
      </c>
      <c r="G27" s="2">
        <v>12255</v>
      </c>
      <c r="H27" s="2">
        <v>5579</v>
      </c>
      <c r="I27" s="2">
        <v>210</v>
      </c>
      <c r="J27" s="2">
        <v>540</v>
      </c>
      <c r="K27" s="2">
        <v>191</v>
      </c>
      <c r="L27" s="2">
        <v>199</v>
      </c>
      <c r="M27" s="2">
        <v>96</v>
      </c>
      <c r="N27" s="2">
        <v>243</v>
      </c>
      <c r="O27" s="2">
        <v>184</v>
      </c>
      <c r="P27" s="2">
        <v>41</v>
      </c>
    </row>
    <row r="28" spans="2:16" ht="10.5" customHeight="1">
      <c r="B28" s="6" t="s">
        <v>33</v>
      </c>
      <c r="C28" s="2">
        <v>1147</v>
      </c>
      <c r="D28" s="2">
        <v>200</v>
      </c>
      <c r="E28" s="2">
        <v>535</v>
      </c>
      <c r="F28" s="2">
        <v>990</v>
      </c>
      <c r="G28" s="2">
        <v>1769</v>
      </c>
      <c r="H28" s="2">
        <v>803</v>
      </c>
      <c r="I28" s="2">
        <v>44</v>
      </c>
      <c r="J28" s="2">
        <v>100</v>
      </c>
      <c r="K28" s="2">
        <v>54</v>
      </c>
      <c r="L28" s="2">
        <v>73</v>
      </c>
      <c r="M28" s="2">
        <v>40</v>
      </c>
      <c r="N28" s="2">
        <v>11</v>
      </c>
      <c r="O28" s="2">
        <v>25</v>
      </c>
      <c r="P28" s="2">
        <v>1</v>
      </c>
    </row>
    <row r="29" spans="2:16" ht="10.5" customHeight="1">
      <c r="B29" s="6" t="s">
        <v>34</v>
      </c>
      <c r="C29" s="2">
        <v>8351</v>
      </c>
      <c r="D29" s="2">
        <v>606</v>
      </c>
      <c r="E29" s="2">
        <v>1542</v>
      </c>
      <c r="F29" s="2">
        <v>2378</v>
      </c>
      <c r="G29" s="2">
        <v>10027</v>
      </c>
      <c r="H29" s="2">
        <v>2739</v>
      </c>
      <c r="I29" s="2">
        <v>93</v>
      </c>
      <c r="J29" s="2">
        <v>188</v>
      </c>
      <c r="K29" s="2">
        <v>94</v>
      </c>
      <c r="L29" s="2">
        <v>103</v>
      </c>
      <c r="M29" s="2">
        <v>55</v>
      </c>
      <c r="N29" s="2">
        <v>238</v>
      </c>
      <c r="O29" s="2">
        <v>130</v>
      </c>
      <c r="P29" s="2">
        <v>19</v>
      </c>
    </row>
    <row r="30" spans="2:16" ht="10.5" customHeight="1">
      <c r="B30" s="6" t="s">
        <v>35</v>
      </c>
      <c r="C30" s="2">
        <v>1815</v>
      </c>
      <c r="D30" s="2">
        <v>185</v>
      </c>
      <c r="E30" s="2">
        <v>517</v>
      </c>
      <c r="F30" s="2">
        <v>784</v>
      </c>
      <c r="G30" s="2">
        <v>3182</v>
      </c>
      <c r="H30" s="2">
        <v>1026</v>
      </c>
      <c r="I30" s="2">
        <v>29</v>
      </c>
      <c r="J30" s="2">
        <v>96</v>
      </c>
      <c r="K30" s="2">
        <v>9</v>
      </c>
      <c r="L30" s="2">
        <v>26</v>
      </c>
      <c r="M30" s="2">
        <v>7</v>
      </c>
      <c r="N30" s="2">
        <v>22</v>
      </c>
      <c r="O30" s="2">
        <v>42</v>
      </c>
      <c r="P30" s="2">
        <v>3</v>
      </c>
    </row>
    <row r="31" spans="2:16" ht="10.5" customHeight="1">
      <c r="B31" s="6" t="s">
        <v>36</v>
      </c>
      <c r="C31" s="2">
        <v>1514</v>
      </c>
      <c r="D31" s="2">
        <v>183</v>
      </c>
      <c r="E31" s="2">
        <v>545</v>
      </c>
      <c r="F31" s="2">
        <v>528</v>
      </c>
      <c r="G31" s="2">
        <v>2425</v>
      </c>
      <c r="H31" s="2">
        <v>498</v>
      </c>
      <c r="I31" s="2">
        <v>29</v>
      </c>
      <c r="J31" s="2">
        <v>53</v>
      </c>
      <c r="K31" s="2">
        <v>45</v>
      </c>
      <c r="L31" s="2">
        <v>28</v>
      </c>
      <c r="M31" s="2">
        <v>23</v>
      </c>
      <c r="N31" s="2">
        <v>22</v>
      </c>
      <c r="O31" s="2">
        <v>29</v>
      </c>
      <c r="P31" s="2">
        <v>4</v>
      </c>
    </row>
    <row r="32" spans="2:16" ht="10.5" customHeight="1">
      <c r="B32" s="6" t="s">
        <v>37</v>
      </c>
      <c r="C32" s="2">
        <v>302</v>
      </c>
      <c r="D32" s="2">
        <v>31</v>
      </c>
      <c r="E32" s="2">
        <v>105</v>
      </c>
      <c r="F32" s="2">
        <v>157</v>
      </c>
      <c r="G32" s="2">
        <v>400</v>
      </c>
      <c r="H32" s="2">
        <v>151</v>
      </c>
      <c r="I32" s="2">
        <v>7</v>
      </c>
      <c r="J32" s="2">
        <v>7</v>
      </c>
      <c r="K32" s="2">
        <v>24</v>
      </c>
      <c r="L32" s="2">
        <v>10</v>
      </c>
      <c r="M32" s="2">
        <v>9</v>
      </c>
      <c r="N32" s="2">
        <v>7</v>
      </c>
      <c r="O32" s="2">
        <v>16</v>
      </c>
      <c r="P32" s="2">
        <v>1</v>
      </c>
    </row>
    <row r="33" spans="2:16" ht="10.5" customHeight="1">
      <c r="B33" s="6" t="s">
        <v>38</v>
      </c>
      <c r="C33" s="2">
        <v>2044</v>
      </c>
      <c r="D33" s="2">
        <v>405</v>
      </c>
      <c r="E33" s="2">
        <v>864</v>
      </c>
      <c r="F33" s="2">
        <v>865</v>
      </c>
      <c r="G33" s="2">
        <v>3488</v>
      </c>
      <c r="H33" s="2">
        <v>945</v>
      </c>
      <c r="I33" s="2">
        <v>49</v>
      </c>
      <c r="J33" s="2">
        <v>105</v>
      </c>
      <c r="K33" s="2">
        <v>93</v>
      </c>
      <c r="L33" s="2">
        <v>87</v>
      </c>
      <c r="M33" s="2">
        <v>24</v>
      </c>
      <c r="N33" s="2">
        <v>27</v>
      </c>
      <c r="O33" s="2">
        <v>46</v>
      </c>
      <c r="P33" s="2">
        <v>6</v>
      </c>
    </row>
    <row r="34" spans="1:16" ht="10.5" customHeight="1">
      <c r="A34" s="4" t="s">
        <v>76</v>
      </c>
      <c r="C34" s="3">
        <v>28078</v>
      </c>
      <c r="D34" s="3">
        <v>2717</v>
      </c>
      <c r="E34" s="3">
        <v>7289</v>
      </c>
      <c r="F34" s="3">
        <v>10052</v>
      </c>
      <c r="G34" s="3">
        <v>33546</v>
      </c>
      <c r="H34" s="3">
        <v>11741</v>
      </c>
      <c r="I34" s="3">
        <v>461</v>
      </c>
      <c r="J34" s="3">
        <v>1089</v>
      </c>
      <c r="K34" s="3">
        <v>510</v>
      </c>
      <c r="L34" s="3">
        <v>526</v>
      </c>
      <c r="M34" s="3">
        <v>254</v>
      </c>
      <c r="N34" s="3">
        <v>570</v>
      </c>
      <c r="O34" s="3">
        <v>472</v>
      </c>
      <c r="P34" s="3">
        <v>75</v>
      </c>
    </row>
    <row r="35" spans="2:16" s="5" customFormat="1" ht="10.5" customHeight="1">
      <c r="B35" s="7" t="s">
        <v>159</v>
      </c>
      <c r="C35" s="5">
        <f>C34/38084</f>
        <v>0.737264993172986</v>
      </c>
      <c r="D35" s="5">
        <f>D34/38084</f>
        <v>0.07134229597731331</v>
      </c>
      <c r="E35" s="5">
        <f>E34/38084</f>
        <v>0.19139271084970066</v>
      </c>
      <c r="F35" s="5">
        <f>F34/56889</f>
        <v>0.17669496739264182</v>
      </c>
      <c r="G35" s="5">
        <f>G34/56889</f>
        <v>0.5896746295417392</v>
      </c>
      <c r="H35" s="5">
        <f>H34/56889</f>
        <v>0.20638436253054193</v>
      </c>
      <c r="I35" s="5">
        <f>I34/56889</f>
        <v>0.008103499797851956</v>
      </c>
      <c r="J35" s="5">
        <f>J34/56889</f>
        <v>0.019142540737225124</v>
      </c>
      <c r="K35" s="5">
        <f>K34/1290</f>
        <v>0.3953488372093023</v>
      </c>
      <c r="L35" s="5">
        <f>L34/1290</f>
        <v>0.4077519379844961</v>
      </c>
      <c r="M35" s="5">
        <f>M34/1290</f>
        <v>0.19689922480620156</v>
      </c>
      <c r="N35" s="5">
        <f>N34/570</f>
        <v>1</v>
      </c>
      <c r="O35" s="5">
        <f>O34/472</f>
        <v>1</v>
      </c>
      <c r="P35" s="5">
        <f>P34/75</f>
        <v>1</v>
      </c>
    </row>
    <row r="36" spans="2:16" ht="10.5" customHeight="1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0.5" customHeight="1">
      <c r="A37" s="4" t="s">
        <v>88</v>
      </c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0.5" customHeight="1">
      <c r="B38" s="6" t="s">
        <v>39</v>
      </c>
      <c r="C38" s="2">
        <v>162</v>
      </c>
      <c r="D38" s="2">
        <v>12</v>
      </c>
      <c r="E38" s="2">
        <v>23</v>
      </c>
      <c r="F38" s="2">
        <v>38</v>
      </c>
      <c r="G38" s="2">
        <v>84</v>
      </c>
      <c r="H38" s="2">
        <v>53</v>
      </c>
      <c r="I38" s="2">
        <v>0</v>
      </c>
      <c r="J38" s="2">
        <v>4</v>
      </c>
      <c r="K38" s="2">
        <v>2</v>
      </c>
      <c r="L38" s="2">
        <v>4</v>
      </c>
      <c r="M38" s="2">
        <v>2</v>
      </c>
      <c r="N38" s="2">
        <v>3</v>
      </c>
      <c r="O38" s="2">
        <v>0</v>
      </c>
      <c r="P38" s="2">
        <v>0</v>
      </c>
    </row>
    <row r="39" spans="2:16" ht="10.5" customHeight="1">
      <c r="B39" s="6" t="s">
        <v>40</v>
      </c>
      <c r="C39" s="2">
        <v>8455</v>
      </c>
      <c r="D39" s="2">
        <v>749</v>
      </c>
      <c r="E39" s="2">
        <v>2652</v>
      </c>
      <c r="F39" s="2">
        <v>3428</v>
      </c>
      <c r="G39" s="2">
        <v>13041</v>
      </c>
      <c r="H39" s="2">
        <v>3874</v>
      </c>
      <c r="I39" s="2">
        <v>156</v>
      </c>
      <c r="J39" s="2">
        <v>275</v>
      </c>
      <c r="K39" s="2">
        <v>122</v>
      </c>
      <c r="L39" s="2">
        <v>205</v>
      </c>
      <c r="M39" s="2">
        <v>93</v>
      </c>
      <c r="N39" s="2">
        <v>155</v>
      </c>
      <c r="O39" s="2">
        <v>163</v>
      </c>
      <c r="P39" s="2">
        <v>25</v>
      </c>
    </row>
    <row r="40" spans="2:16" ht="10.5" customHeight="1">
      <c r="B40" s="6" t="s">
        <v>35</v>
      </c>
      <c r="C40" s="2">
        <v>16955</v>
      </c>
      <c r="D40" s="2">
        <v>1166</v>
      </c>
      <c r="E40" s="2">
        <v>4386</v>
      </c>
      <c r="F40" s="2">
        <v>6457</v>
      </c>
      <c r="G40" s="2">
        <v>25553</v>
      </c>
      <c r="H40" s="2">
        <v>9733</v>
      </c>
      <c r="I40" s="2">
        <v>219</v>
      </c>
      <c r="J40" s="2">
        <v>574</v>
      </c>
      <c r="K40" s="2">
        <v>94</v>
      </c>
      <c r="L40" s="2">
        <v>127</v>
      </c>
      <c r="M40" s="2">
        <v>72</v>
      </c>
      <c r="N40" s="2">
        <v>165</v>
      </c>
      <c r="O40" s="2">
        <v>214</v>
      </c>
      <c r="P40" s="2">
        <v>25</v>
      </c>
    </row>
    <row r="41" spans="2:16" ht="10.5" customHeight="1">
      <c r="B41" s="6" t="s">
        <v>41</v>
      </c>
      <c r="C41" s="2">
        <v>3515</v>
      </c>
      <c r="D41" s="2">
        <v>389</v>
      </c>
      <c r="E41" s="2">
        <v>909</v>
      </c>
      <c r="F41" s="2">
        <v>917</v>
      </c>
      <c r="G41" s="2">
        <v>3514</v>
      </c>
      <c r="H41" s="2">
        <v>1143</v>
      </c>
      <c r="I41" s="2">
        <v>44</v>
      </c>
      <c r="J41" s="2">
        <v>88</v>
      </c>
      <c r="K41" s="2">
        <v>54</v>
      </c>
      <c r="L41" s="2">
        <v>74</v>
      </c>
      <c r="M41" s="2">
        <v>31</v>
      </c>
      <c r="N41" s="2">
        <v>32</v>
      </c>
      <c r="O41" s="2">
        <v>56</v>
      </c>
      <c r="P41" s="2">
        <v>12</v>
      </c>
    </row>
    <row r="42" spans="1:16" ht="10.5" customHeight="1">
      <c r="A42" s="4" t="s">
        <v>76</v>
      </c>
      <c r="C42" s="3">
        <v>29087</v>
      </c>
      <c r="D42" s="3">
        <v>2316</v>
      </c>
      <c r="E42" s="3">
        <v>7970</v>
      </c>
      <c r="F42" s="3">
        <v>10840</v>
      </c>
      <c r="G42" s="3">
        <v>42192</v>
      </c>
      <c r="H42" s="3">
        <v>14803</v>
      </c>
      <c r="I42" s="3">
        <v>419</v>
      </c>
      <c r="J42" s="3">
        <v>941</v>
      </c>
      <c r="K42" s="3">
        <v>272</v>
      </c>
      <c r="L42" s="3">
        <v>410</v>
      </c>
      <c r="M42" s="3">
        <v>198</v>
      </c>
      <c r="N42" s="3">
        <v>355</v>
      </c>
      <c r="O42" s="3">
        <v>433</v>
      </c>
      <c r="P42" s="3">
        <v>62</v>
      </c>
    </row>
    <row r="43" spans="2:16" s="5" customFormat="1" ht="10.5" customHeight="1">
      <c r="B43" s="7" t="s">
        <v>159</v>
      </c>
      <c r="C43" s="5">
        <f>C42/39373</f>
        <v>0.738754984380159</v>
      </c>
      <c r="D43" s="5">
        <f>D42/39373</f>
        <v>0.05882203540497295</v>
      </c>
      <c r="E43" s="5">
        <f>E42/39373</f>
        <v>0.20242298021486807</v>
      </c>
      <c r="F43" s="5">
        <f>F42/69195</f>
        <v>0.15665871811547077</v>
      </c>
      <c r="G43" s="5">
        <f>G42/69195</f>
        <v>0.6097550401040538</v>
      </c>
      <c r="H43" s="5">
        <f>H42/69195</f>
        <v>0.2139316424597153</v>
      </c>
      <c r="I43" s="5">
        <f>I42/69195</f>
        <v>0.006055350820145964</v>
      </c>
      <c r="J43" s="5">
        <f>J42/69195</f>
        <v>0.013599248500614206</v>
      </c>
      <c r="K43" s="5">
        <f>K42/880</f>
        <v>0.3090909090909091</v>
      </c>
      <c r="L43" s="5">
        <f>L42/880</f>
        <v>0.4659090909090909</v>
      </c>
      <c r="M43" s="5">
        <f>M42/880</f>
        <v>0.225</v>
      </c>
      <c r="N43" s="5">
        <f>N42/355</f>
        <v>1</v>
      </c>
      <c r="O43" s="5">
        <f>O42/433</f>
        <v>1</v>
      </c>
      <c r="P43" s="5">
        <f>P42/62</f>
        <v>1</v>
      </c>
    </row>
    <row r="44" spans="2:16" ht="10.5" customHeight="1"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0.5" customHeight="1">
      <c r="A45" s="4" t="s">
        <v>89</v>
      </c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0.5" customHeight="1">
      <c r="B46" s="6" t="s">
        <v>35</v>
      </c>
      <c r="C46" s="2">
        <v>1136</v>
      </c>
      <c r="D46" s="2">
        <v>61</v>
      </c>
      <c r="E46" s="2">
        <v>318</v>
      </c>
      <c r="F46" s="2">
        <v>533</v>
      </c>
      <c r="G46" s="2">
        <v>2862</v>
      </c>
      <c r="H46" s="2">
        <v>961</v>
      </c>
      <c r="I46" s="2">
        <v>12</v>
      </c>
      <c r="J46" s="2">
        <v>54</v>
      </c>
      <c r="K46" s="2">
        <v>2</v>
      </c>
      <c r="L46" s="2">
        <v>5</v>
      </c>
      <c r="M46" s="2">
        <v>4</v>
      </c>
      <c r="N46" s="2">
        <v>3</v>
      </c>
      <c r="O46" s="2">
        <v>11</v>
      </c>
      <c r="P46" s="2">
        <v>0</v>
      </c>
    </row>
    <row r="47" spans="2:16" ht="10.5" customHeight="1">
      <c r="B47" s="6" t="s">
        <v>41</v>
      </c>
      <c r="C47" s="2">
        <v>27209</v>
      </c>
      <c r="D47" s="2">
        <v>2394</v>
      </c>
      <c r="E47" s="2">
        <v>6417</v>
      </c>
      <c r="F47" s="2">
        <v>5970</v>
      </c>
      <c r="G47" s="2">
        <v>28553</v>
      </c>
      <c r="H47" s="2">
        <v>9227</v>
      </c>
      <c r="I47" s="2">
        <v>357</v>
      </c>
      <c r="J47" s="2">
        <v>544</v>
      </c>
      <c r="K47" s="2">
        <v>309</v>
      </c>
      <c r="L47" s="2">
        <v>369</v>
      </c>
      <c r="M47" s="2">
        <v>190</v>
      </c>
      <c r="N47" s="2">
        <v>267</v>
      </c>
      <c r="O47" s="2">
        <v>297</v>
      </c>
      <c r="P47" s="2">
        <v>69</v>
      </c>
    </row>
    <row r="48" spans="1:16" ht="10.5" customHeight="1">
      <c r="A48" s="4" t="s">
        <v>76</v>
      </c>
      <c r="C48" s="3">
        <v>28345</v>
      </c>
      <c r="D48" s="3">
        <v>2455</v>
      </c>
      <c r="E48" s="3">
        <v>6735</v>
      </c>
      <c r="F48" s="3">
        <v>6503</v>
      </c>
      <c r="G48" s="3">
        <v>31415</v>
      </c>
      <c r="H48" s="3">
        <v>10188</v>
      </c>
      <c r="I48" s="3">
        <v>369</v>
      </c>
      <c r="J48" s="3">
        <v>598</v>
      </c>
      <c r="K48" s="3">
        <v>311</v>
      </c>
      <c r="L48" s="3">
        <v>374</v>
      </c>
      <c r="M48" s="3">
        <v>194</v>
      </c>
      <c r="N48" s="3">
        <v>270</v>
      </c>
      <c r="O48" s="3">
        <v>308</v>
      </c>
      <c r="P48" s="3">
        <v>69</v>
      </c>
    </row>
    <row r="49" spans="2:16" s="5" customFormat="1" ht="10.5" customHeight="1">
      <c r="B49" s="7" t="s">
        <v>159</v>
      </c>
      <c r="C49" s="5">
        <f>C48/37535</f>
        <v>0.7551618489409884</v>
      </c>
      <c r="D49" s="5">
        <f>D48/37535</f>
        <v>0.065405621420008</v>
      </c>
      <c r="E49" s="5">
        <f>E48/37535</f>
        <v>0.1794325296390036</v>
      </c>
      <c r="F49" s="5">
        <f>F48/49073</f>
        <v>0.1325168626332199</v>
      </c>
      <c r="G49" s="5">
        <f>G48/49073</f>
        <v>0.6401687282212214</v>
      </c>
      <c r="H49" s="5">
        <f>H48/49073</f>
        <v>0.20760907219856134</v>
      </c>
      <c r="I49" s="5">
        <f>I48/49073</f>
        <v>0.007519409858781815</v>
      </c>
      <c r="J49" s="5">
        <f>J48/49073</f>
        <v>0.012185927088215516</v>
      </c>
      <c r="K49" s="5">
        <f>K48/879</f>
        <v>0.35381114903299204</v>
      </c>
      <c r="L49" s="5">
        <f>L48/879</f>
        <v>0.4254835039817975</v>
      </c>
      <c r="M49" s="5">
        <f>M48/879</f>
        <v>0.22070534698521047</v>
      </c>
      <c r="N49" s="5">
        <f>N48/270</f>
        <v>1</v>
      </c>
      <c r="O49" s="5">
        <f>O48/308</f>
        <v>1</v>
      </c>
      <c r="P49" s="5">
        <f>P48/69</f>
        <v>1</v>
      </c>
    </row>
    <row r="50" spans="2:16" ht="10.5" customHeight="1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0.5" customHeight="1">
      <c r="A51" s="4" t="s">
        <v>90</v>
      </c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0.5" customHeight="1">
      <c r="B52" s="6" t="s">
        <v>42</v>
      </c>
      <c r="C52" s="2">
        <v>40490</v>
      </c>
      <c r="D52" s="2">
        <v>1232</v>
      </c>
      <c r="E52" s="2">
        <v>3167</v>
      </c>
      <c r="F52" s="2">
        <v>3119</v>
      </c>
      <c r="G52" s="2">
        <v>8917</v>
      </c>
      <c r="H52" s="2">
        <v>6827</v>
      </c>
      <c r="I52" s="2">
        <v>167</v>
      </c>
      <c r="J52" s="2">
        <v>252</v>
      </c>
      <c r="K52" s="2">
        <v>94</v>
      </c>
      <c r="L52" s="2">
        <v>120</v>
      </c>
      <c r="M52" s="2">
        <v>93</v>
      </c>
      <c r="N52" s="2">
        <v>485</v>
      </c>
      <c r="O52" s="2">
        <v>234</v>
      </c>
      <c r="P52" s="2">
        <v>51</v>
      </c>
    </row>
    <row r="53" spans="2:16" ht="10.5" customHeight="1">
      <c r="B53" s="6" t="s">
        <v>22</v>
      </c>
      <c r="C53" s="2">
        <v>21937</v>
      </c>
      <c r="D53" s="2">
        <v>1067</v>
      </c>
      <c r="E53" s="2">
        <v>3027</v>
      </c>
      <c r="F53" s="2">
        <v>2772</v>
      </c>
      <c r="G53" s="2">
        <v>5589</v>
      </c>
      <c r="H53" s="2">
        <v>4114</v>
      </c>
      <c r="I53" s="2">
        <v>151</v>
      </c>
      <c r="J53" s="2">
        <v>267</v>
      </c>
      <c r="K53" s="2">
        <v>117</v>
      </c>
      <c r="L53" s="2">
        <v>134</v>
      </c>
      <c r="M53" s="2">
        <v>101</v>
      </c>
      <c r="N53" s="2">
        <v>390</v>
      </c>
      <c r="O53" s="2">
        <v>168</v>
      </c>
      <c r="P53" s="2">
        <v>55</v>
      </c>
    </row>
    <row r="54" spans="1:16" ht="10.5" customHeight="1">
      <c r="A54" s="4" t="s">
        <v>76</v>
      </c>
      <c r="C54" s="3">
        <v>62427</v>
      </c>
      <c r="D54" s="3">
        <v>2299</v>
      </c>
      <c r="E54" s="3">
        <v>6194</v>
      </c>
      <c r="F54" s="3">
        <v>5891</v>
      </c>
      <c r="G54" s="3">
        <v>14506</v>
      </c>
      <c r="H54" s="3">
        <v>10941</v>
      </c>
      <c r="I54" s="3">
        <v>318</v>
      </c>
      <c r="J54" s="3">
        <v>519</v>
      </c>
      <c r="K54" s="3">
        <v>211</v>
      </c>
      <c r="L54" s="3">
        <v>254</v>
      </c>
      <c r="M54" s="3">
        <v>194</v>
      </c>
      <c r="N54" s="3">
        <v>875</v>
      </c>
      <c r="O54" s="3">
        <v>402</v>
      </c>
      <c r="P54" s="3">
        <v>106</v>
      </c>
    </row>
    <row r="55" spans="2:16" s="5" customFormat="1" ht="10.5" customHeight="1">
      <c r="B55" s="7" t="s">
        <v>159</v>
      </c>
      <c r="C55" s="5">
        <f>C54/70920</f>
        <v>0.8802453468697123</v>
      </c>
      <c r="D55" s="5">
        <f>D54/70920</f>
        <v>0.03241680767061478</v>
      </c>
      <c r="E55" s="5">
        <f>E54/70920</f>
        <v>0.08733784545967287</v>
      </c>
      <c r="F55" s="5">
        <f>F54/32175</f>
        <v>0.1830924630924631</v>
      </c>
      <c r="G55" s="5">
        <f>G54/32175</f>
        <v>0.45084693084693084</v>
      </c>
      <c r="H55" s="5">
        <f>H54/32175</f>
        <v>0.34004662004662006</v>
      </c>
      <c r="I55" s="5">
        <f>I54/32175</f>
        <v>0.009883449883449883</v>
      </c>
      <c r="J55" s="5">
        <f>J54/32175</f>
        <v>0.01613053613053613</v>
      </c>
      <c r="K55" s="5">
        <f>K54/659</f>
        <v>0.3201820940819423</v>
      </c>
      <c r="L55" s="5">
        <f>L54/659</f>
        <v>0.38543247344461307</v>
      </c>
      <c r="M55" s="5">
        <f>M54/659</f>
        <v>0.2943854324734446</v>
      </c>
      <c r="N55" s="5">
        <f>N54/875</f>
        <v>1</v>
      </c>
      <c r="O55" s="5">
        <f>O54/402</f>
        <v>1</v>
      </c>
      <c r="P55" s="5">
        <f>P54/106</f>
        <v>1</v>
      </c>
    </row>
    <row r="56" spans="2:16" ht="10.5" customHeight="1"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0.5" customHeight="1">
      <c r="A57" s="4" t="s">
        <v>91</v>
      </c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0.5" customHeight="1">
      <c r="B58" s="6" t="s">
        <v>43</v>
      </c>
      <c r="C58" s="2">
        <v>12250</v>
      </c>
      <c r="D58" s="2">
        <v>630</v>
      </c>
      <c r="E58" s="2">
        <v>2086</v>
      </c>
      <c r="F58" s="2">
        <v>2256</v>
      </c>
      <c r="G58" s="2">
        <v>4946</v>
      </c>
      <c r="H58" s="2">
        <v>3390</v>
      </c>
      <c r="I58" s="2">
        <v>86</v>
      </c>
      <c r="J58" s="2">
        <v>227</v>
      </c>
      <c r="K58" s="2">
        <v>77</v>
      </c>
      <c r="L58" s="2">
        <v>130</v>
      </c>
      <c r="M58" s="2">
        <v>69</v>
      </c>
      <c r="N58" s="2">
        <v>142</v>
      </c>
      <c r="O58" s="2">
        <v>108</v>
      </c>
      <c r="P58" s="2">
        <v>18</v>
      </c>
    </row>
    <row r="59" spans="2:16" ht="10.5" customHeight="1">
      <c r="B59" s="6" t="s">
        <v>44</v>
      </c>
      <c r="C59" s="2">
        <v>11102</v>
      </c>
      <c r="D59" s="2">
        <v>413</v>
      </c>
      <c r="E59" s="2">
        <v>1616</v>
      </c>
      <c r="F59" s="2">
        <v>1116</v>
      </c>
      <c r="G59" s="2">
        <v>2933</v>
      </c>
      <c r="H59" s="2">
        <v>1437</v>
      </c>
      <c r="I59" s="2">
        <v>50</v>
      </c>
      <c r="J59" s="2">
        <v>146</v>
      </c>
      <c r="K59" s="2">
        <v>54</v>
      </c>
      <c r="L59" s="2">
        <v>60</v>
      </c>
      <c r="M59" s="2">
        <v>53</v>
      </c>
      <c r="N59" s="2">
        <v>59</v>
      </c>
      <c r="O59" s="2">
        <v>46</v>
      </c>
      <c r="P59" s="2">
        <v>14</v>
      </c>
    </row>
    <row r="60" spans="2:16" ht="10.5" customHeight="1">
      <c r="B60" s="6" t="s">
        <v>22</v>
      </c>
      <c r="C60" s="2">
        <v>20384</v>
      </c>
      <c r="D60" s="2">
        <v>750</v>
      </c>
      <c r="E60" s="2">
        <v>2681</v>
      </c>
      <c r="F60" s="2">
        <v>2511</v>
      </c>
      <c r="G60" s="2">
        <v>5294</v>
      </c>
      <c r="H60" s="2">
        <v>4313</v>
      </c>
      <c r="I60" s="2">
        <v>127</v>
      </c>
      <c r="J60" s="2">
        <v>314</v>
      </c>
      <c r="K60" s="2">
        <v>88</v>
      </c>
      <c r="L60" s="2">
        <v>129</v>
      </c>
      <c r="M60" s="2">
        <v>91</v>
      </c>
      <c r="N60" s="2">
        <v>282</v>
      </c>
      <c r="O60" s="2">
        <v>158</v>
      </c>
      <c r="P60" s="2">
        <v>42</v>
      </c>
    </row>
    <row r="61" spans="1:16" ht="10.5" customHeight="1">
      <c r="A61" s="4" t="s">
        <v>76</v>
      </c>
      <c r="C61" s="3">
        <v>43736</v>
      </c>
      <c r="D61" s="3">
        <v>1793</v>
      </c>
      <c r="E61" s="3">
        <v>6383</v>
      </c>
      <c r="F61" s="3">
        <v>5883</v>
      </c>
      <c r="G61" s="3">
        <v>13173</v>
      </c>
      <c r="H61" s="3">
        <v>9140</v>
      </c>
      <c r="I61" s="3">
        <v>263</v>
      </c>
      <c r="J61" s="3">
        <v>687</v>
      </c>
      <c r="K61" s="3">
        <v>219</v>
      </c>
      <c r="L61" s="3">
        <v>319</v>
      </c>
      <c r="M61" s="3">
        <v>213</v>
      </c>
      <c r="N61" s="3">
        <v>483</v>
      </c>
      <c r="O61" s="3">
        <v>312</v>
      </c>
      <c r="P61" s="3">
        <v>74</v>
      </c>
    </row>
    <row r="62" spans="2:16" s="5" customFormat="1" ht="10.5" customHeight="1">
      <c r="B62" s="7" t="s">
        <v>159</v>
      </c>
      <c r="C62" s="5">
        <f>C61/51912</f>
        <v>0.8425026968716289</v>
      </c>
      <c r="D62" s="5">
        <f>D61/51912</f>
        <v>0.03453922021883187</v>
      </c>
      <c r="E62" s="5">
        <f>E61/51912</f>
        <v>0.12295808290953922</v>
      </c>
      <c r="F62" s="5">
        <f>F61/29146</f>
        <v>0.20184587936595072</v>
      </c>
      <c r="G62" s="5">
        <f>G61/29146</f>
        <v>0.4519659644548137</v>
      </c>
      <c r="H62" s="5">
        <f>H61/29146</f>
        <v>0.3135936320592877</v>
      </c>
      <c r="I62" s="5">
        <f>I61/29146</f>
        <v>0.009023536677417142</v>
      </c>
      <c r="J62" s="5">
        <f>J61/29146</f>
        <v>0.023570987442530708</v>
      </c>
      <c r="K62" s="5">
        <f>K61/751</f>
        <v>0.29161118508655126</v>
      </c>
      <c r="L62" s="5">
        <f>L61/751</f>
        <v>0.4247669773635153</v>
      </c>
      <c r="M62" s="5">
        <f>M61/751</f>
        <v>0.2836218375499334</v>
      </c>
      <c r="N62" s="5">
        <f>N61/483</f>
        <v>1</v>
      </c>
      <c r="O62" s="5">
        <f>O61/312</f>
        <v>1</v>
      </c>
      <c r="P62" s="5">
        <f>P61/74</f>
        <v>1</v>
      </c>
    </row>
    <row r="63" spans="2:16" ht="10.5" customHeight="1"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0.5" customHeight="1">
      <c r="A64" s="4" t="s">
        <v>92</v>
      </c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0.5" customHeight="1">
      <c r="B65" s="6" t="s">
        <v>44</v>
      </c>
      <c r="C65" s="2">
        <v>16544</v>
      </c>
      <c r="D65" s="2">
        <v>968</v>
      </c>
      <c r="E65" s="2">
        <v>4337</v>
      </c>
      <c r="F65" s="2">
        <v>3588</v>
      </c>
      <c r="G65" s="2">
        <v>11129</v>
      </c>
      <c r="H65" s="2">
        <v>3777</v>
      </c>
      <c r="I65" s="2">
        <v>138</v>
      </c>
      <c r="J65" s="2">
        <v>343</v>
      </c>
      <c r="K65" s="2">
        <v>141</v>
      </c>
      <c r="L65" s="2">
        <v>197</v>
      </c>
      <c r="M65" s="2">
        <v>136</v>
      </c>
      <c r="N65" s="2">
        <v>79</v>
      </c>
      <c r="O65" s="2">
        <v>160</v>
      </c>
      <c r="P65" s="2">
        <v>21</v>
      </c>
    </row>
    <row r="66" spans="2:16" ht="10.5" customHeight="1">
      <c r="B66" s="6" t="s">
        <v>32</v>
      </c>
      <c r="C66" s="2">
        <v>14295</v>
      </c>
      <c r="D66" s="2">
        <v>594</v>
      </c>
      <c r="E66" s="2">
        <v>2123</v>
      </c>
      <c r="F66" s="2">
        <v>1244</v>
      </c>
      <c r="G66" s="2">
        <v>6110</v>
      </c>
      <c r="H66" s="2">
        <v>2635</v>
      </c>
      <c r="I66" s="2">
        <v>81</v>
      </c>
      <c r="J66" s="2">
        <v>226</v>
      </c>
      <c r="K66" s="2">
        <v>68</v>
      </c>
      <c r="L66" s="2">
        <v>87</v>
      </c>
      <c r="M66" s="2">
        <v>50</v>
      </c>
      <c r="N66" s="2">
        <v>211</v>
      </c>
      <c r="O66" s="2">
        <v>103</v>
      </c>
      <c r="P66" s="2">
        <v>28</v>
      </c>
    </row>
    <row r="67" spans="1:16" ht="10.5" customHeight="1">
      <c r="A67" s="4" t="s">
        <v>76</v>
      </c>
      <c r="C67" s="3">
        <v>30839</v>
      </c>
      <c r="D67" s="3">
        <v>1562</v>
      </c>
      <c r="E67" s="3">
        <v>6460</v>
      </c>
      <c r="F67" s="3">
        <v>4832</v>
      </c>
      <c r="G67" s="3">
        <v>17239</v>
      </c>
      <c r="H67" s="3">
        <v>6412</v>
      </c>
      <c r="I67" s="3">
        <v>219</v>
      </c>
      <c r="J67" s="3">
        <v>569</v>
      </c>
      <c r="K67" s="3">
        <v>209</v>
      </c>
      <c r="L67" s="3">
        <v>284</v>
      </c>
      <c r="M67" s="3">
        <v>186</v>
      </c>
      <c r="N67" s="3">
        <v>290</v>
      </c>
      <c r="O67" s="3">
        <v>263</v>
      </c>
      <c r="P67" s="3">
        <v>49</v>
      </c>
    </row>
    <row r="68" spans="2:16" s="5" customFormat="1" ht="10.5" customHeight="1">
      <c r="B68" s="7" t="s">
        <v>159</v>
      </c>
      <c r="C68" s="5">
        <f>C67/38861</f>
        <v>0.7935719616067523</v>
      </c>
      <c r="D68" s="5">
        <f>D67/38861</f>
        <v>0.04019453951262191</v>
      </c>
      <c r="E68" s="5">
        <f>E67/38861</f>
        <v>0.16623349888062583</v>
      </c>
      <c r="F68" s="5">
        <f>F67/29271</f>
        <v>0.16507806361244917</v>
      </c>
      <c r="G68" s="5">
        <f>G67/29271</f>
        <v>0.588944689282908</v>
      </c>
      <c r="H68" s="5">
        <f>H67/29271</f>
        <v>0.21905640394930134</v>
      </c>
      <c r="I68" s="5">
        <f>I67/29271</f>
        <v>0.007481807932766219</v>
      </c>
      <c r="J68" s="5">
        <f>J67/29271</f>
        <v>0.019439035222575247</v>
      </c>
      <c r="K68" s="5">
        <f>K67/679</f>
        <v>0.3078055964653903</v>
      </c>
      <c r="L68" s="5">
        <f>L67/679</f>
        <v>0.4182621502209131</v>
      </c>
      <c r="M68" s="5">
        <f>M67/679</f>
        <v>0.27393225331369664</v>
      </c>
      <c r="N68" s="5">
        <f>N67/290</f>
        <v>1</v>
      </c>
      <c r="O68" s="5">
        <f>O67/263</f>
        <v>1</v>
      </c>
      <c r="P68" s="5">
        <f>P67/49</f>
        <v>1</v>
      </c>
    </row>
    <row r="69" spans="2:16" ht="10.5" customHeight="1"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0.5" customHeight="1">
      <c r="A70" s="4" t="s">
        <v>93</v>
      </c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0.5" customHeight="1">
      <c r="B71" s="6" t="s">
        <v>41</v>
      </c>
      <c r="C71" s="2">
        <v>33556</v>
      </c>
      <c r="D71" s="2">
        <v>2247</v>
      </c>
      <c r="E71" s="2">
        <v>4818</v>
      </c>
      <c r="F71" s="2">
        <v>1902</v>
      </c>
      <c r="G71" s="2">
        <v>9927</v>
      </c>
      <c r="H71" s="2">
        <v>4594</v>
      </c>
      <c r="I71" s="2">
        <v>200</v>
      </c>
      <c r="J71" s="2">
        <v>375</v>
      </c>
      <c r="K71" s="2">
        <v>154</v>
      </c>
      <c r="L71" s="2">
        <v>255</v>
      </c>
      <c r="M71" s="2">
        <v>126</v>
      </c>
      <c r="N71" s="2">
        <v>437</v>
      </c>
      <c r="O71" s="2">
        <v>203</v>
      </c>
      <c r="P71" s="2">
        <v>135</v>
      </c>
    </row>
    <row r="72" spans="1:16" ht="10.5" customHeight="1">
      <c r="A72" s="4" t="s">
        <v>76</v>
      </c>
      <c r="C72" s="3">
        <v>33556</v>
      </c>
      <c r="D72" s="3">
        <v>2247</v>
      </c>
      <c r="E72" s="3">
        <v>4818</v>
      </c>
      <c r="F72" s="3">
        <v>1902</v>
      </c>
      <c r="G72" s="3">
        <v>9927</v>
      </c>
      <c r="H72" s="3">
        <v>4594</v>
      </c>
      <c r="I72" s="3">
        <v>200</v>
      </c>
      <c r="J72" s="3">
        <v>375</v>
      </c>
      <c r="K72" s="3">
        <v>154</v>
      </c>
      <c r="L72" s="3">
        <v>255</v>
      </c>
      <c r="M72" s="3">
        <v>126</v>
      </c>
      <c r="N72" s="3">
        <v>437</v>
      </c>
      <c r="O72" s="3">
        <v>203</v>
      </c>
      <c r="P72" s="3">
        <v>135</v>
      </c>
    </row>
    <row r="73" spans="2:16" s="5" customFormat="1" ht="10.5" customHeight="1">
      <c r="B73" s="7" t="s">
        <v>159</v>
      </c>
      <c r="C73" s="5">
        <f>C72/40621</f>
        <v>0.8260751827872282</v>
      </c>
      <c r="D73" s="5">
        <f>D72/40621</f>
        <v>0.05531621575047389</v>
      </c>
      <c r="E73" s="5">
        <f>E72/40621</f>
        <v>0.11860860146229783</v>
      </c>
      <c r="F73" s="5">
        <f>F72/16998</f>
        <v>0.11189551711966114</v>
      </c>
      <c r="G73" s="5">
        <f>G72/16998</f>
        <v>0.5840098835157077</v>
      </c>
      <c r="H73" s="5">
        <f>H72/16998</f>
        <v>0.2702670902459113</v>
      </c>
      <c r="I73" s="5">
        <f>I72/16998</f>
        <v>0.011766090128250382</v>
      </c>
      <c r="J73" s="5">
        <f>J72/16998</f>
        <v>0.022061418990469466</v>
      </c>
      <c r="K73" s="5">
        <f>K72/535</f>
        <v>0.28785046728971964</v>
      </c>
      <c r="L73" s="5">
        <f>L72/535</f>
        <v>0.4766355140186916</v>
      </c>
      <c r="M73" s="5">
        <f>M72/535</f>
        <v>0.23551401869158878</v>
      </c>
      <c r="N73" s="5">
        <f>N72/437</f>
        <v>1</v>
      </c>
      <c r="O73" s="5">
        <f>O72/203</f>
        <v>1</v>
      </c>
      <c r="P73" s="5">
        <f>P72/135</f>
        <v>1</v>
      </c>
    </row>
    <row r="74" spans="2:16" ht="10.5" customHeight="1"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0.5" customHeight="1">
      <c r="A75" s="4" t="s">
        <v>94</v>
      </c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0.5" customHeight="1">
      <c r="B76" s="6" t="s">
        <v>45</v>
      </c>
      <c r="C76" s="2">
        <v>2737</v>
      </c>
      <c r="D76" s="2">
        <v>310</v>
      </c>
      <c r="E76" s="2">
        <v>941</v>
      </c>
      <c r="F76" s="2">
        <v>781</v>
      </c>
      <c r="G76" s="2">
        <v>4044</v>
      </c>
      <c r="H76" s="2">
        <v>1074</v>
      </c>
      <c r="I76" s="2">
        <v>73</v>
      </c>
      <c r="J76" s="2">
        <v>98</v>
      </c>
      <c r="K76" s="2">
        <v>46</v>
      </c>
      <c r="L76" s="2">
        <v>63</v>
      </c>
      <c r="M76" s="2">
        <v>34</v>
      </c>
      <c r="N76" s="2">
        <v>20</v>
      </c>
      <c r="O76" s="2">
        <v>52</v>
      </c>
      <c r="P76" s="2">
        <v>6</v>
      </c>
    </row>
    <row r="77" spans="2:16" ht="10.5" customHeight="1">
      <c r="B77" s="6" t="s">
        <v>40</v>
      </c>
      <c r="C77" s="2">
        <v>2323</v>
      </c>
      <c r="D77" s="2">
        <v>163</v>
      </c>
      <c r="E77" s="2">
        <v>587</v>
      </c>
      <c r="F77" s="2">
        <v>937</v>
      </c>
      <c r="G77" s="2">
        <v>4912</v>
      </c>
      <c r="H77" s="2">
        <v>1344</v>
      </c>
      <c r="I77" s="2">
        <v>38</v>
      </c>
      <c r="J77" s="2">
        <v>70</v>
      </c>
      <c r="K77" s="2">
        <v>33</v>
      </c>
      <c r="L77" s="2">
        <v>30</v>
      </c>
      <c r="M77" s="2">
        <v>21</v>
      </c>
      <c r="N77" s="2">
        <v>16</v>
      </c>
      <c r="O77" s="2">
        <v>37</v>
      </c>
      <c r="P77" s="2">
        <v>1</v>
      </c>
    </row>
    <row r="78" spans="2:16" ht="10.5" customHeight="1">
      <c r="B78" s="6" t="s">
        <v>41</v>
      </c>
      <c r="C78" s="2">
        <v>17395</v>
      </c>
      <c r="D78" s="2">
        <v>1301</v>
      </c>
      <c r="E78" s="2">
        <v>3692</v>
      </c>
      <c r="F78" s="2">
        <v>2737</v>
      </c>
      <c r="G78" s="2">
        <v>15225</v>
      </c>
      <c r="H78" s="2">
        <v>4844</v>
      </c>
      <c r="I78" s="2">
        <v>192</v>
      </c>
      <c r="J78" s="2">
        <v>364</v>
      </c>
      <c r="K78" s="2">
        <v>178</v>
      </c>
      <c r="L78" s="2">
        <v>229</v>
      </c>
      <c r="M78" s="2">
        <v>97</v>
      </c>
      <c r="N78" s="2">
        <v>124</v>
      </c>
      <c r="O78" s="2">
        <v>180</v>
      </c>
      <c r="P78" s="2">
        <v>49</v>
      </c>
    </row>
    <row r="79" spans="2:16" ht="10.5" customHeight="1">
      <c r="B79" s="6" t="s">
        <v>46</v>
      </c>
      <c r="C79" s="2">
        <v>6035</v>
      </c>
      <c r="D79" s="2">
        <v>559</v>
      </c>
      <c r="E79" s="2">
        <v>1763</v>
      </c>
      <c r="F79" s="2">
        <v>1974</v>
      </c>
      <c r="G79" s="2">
        <v>8310</v>
      </c>
      <c r="H79" s="2">
        <v>2545</v>
      </c>
      <c r="I79" s="2">
        <v>116</v>
      </c>
      <c r="J79" s="2">
        <v>237</v>
      </c>
      <c r="K79" s="2">
        <v>79</v>
      </c>
      <c r="L79" s="2">
        <v>93</v>
      </c>
      <c r="M79" s="2">
        <v>45</v>
      </c>
      <c r="N79" s="2">
        <v>29</v>
      </c>
      <c r="O79" s="2">
        <v>66</v>
      </c>
      <c r="P79" s="2">
        <v>5</v>
      </c>
    </row>
    <row r="80" spans="1:16" ht="10.5" customHeight="1">
      <c r="A80" s="4" t="s">
        <v>76</v>
      </c>
      <c r="C80" s="3">
        <v>28490</v>
      </c>
      <c r="D80" s="3">
        <v>2333</v>
      </c>
      <c r="E80" s="3">
        <v>6983</v>
      </c>
      <c r="F80" s="3">
        <v>6429</v>
      </c>
      <c r="G80" s="3">
        <v>32491</v>
      </c>
      <c r="H80" s="3">
        <v>9807</v>
      </c>
      <c r="I80" s="3">
        <v>419</v>
      </c>
      <c r="J80" s="3">
        <v>769</v>
      </c>
      <c r="K80" s="3">
        <v>336</v>
      </c>
      <c r="L80" s="3">
        <v>415</v>
      </c>
      <c r="M80" s="3">
        <v>197</v>
      </c>
      <c r="N80" s="3">
        <v>189</v>
      </c>
      <c r="O80" s="3">
        <v>335</v>
      </c>
      <c r="P80" s="3">
        <v>61</v>
      </c>
    </row>
    <row r="81" spans="2:16" s="5" customFormat="1" ht="10.5" customHeight="1">
      <c r="B81" s="7" t="s">
        <v>159</v>
      </c>
      <c r="C81" s="5">
        <f>C80/37806</f>
        <v>0.7535840871819288</v>
      </c>
      <c r="D81" s="5">
        <f>D80/37806</f>
        <v>0.06170978151616146</v>
      </c>
      <c r="E81" s="5">
        <f>E80/37806</f>
        <v>0.18470613130190974</v>
      </c>
      <c r="F81" s="5">
        <f>F80/49915</f>
        <v>0.1287989582289893</v>
      </c>
      <c r="G81" s="5">
        <f>G80/49915</f>
        <v>0.6509265751778023</v>
      </c>
      <c r="H81" s="5">
        <f>H80/49915</f>
        <v>0.19647400580987678</v>
      </c>
      <c r="I81" s="5">
        <f>I80/49915</f>
        <v>0.008394270259441049</v>
      </c>
      <c r="J81" s="5">
        <f>J80/49915</f>
        <v>0.015406190523890613</v>
      </c>
      <c r="K81" s="5">
        <f>K80/948</f>
        <v>0.35443037974683544</v>
      </c>
      <c r="L81" s="5">
        <f>L80/948</f>
        <v>0.43776371308016876</v>
      </c>
      <c r="M81" s="5">
        <f>M80/948</f>
        <v>0.20780590717299577</v>
      </c>
      <c r="N81" s="5">
        <f>N80/189</f>
        <v>1</v>
      </c>
      <c r="O81" s="5">
        <f>O80/335</f>
        <v>1</v>
      </c>
      <c r="P81" s="5">
        <f>P80/61</f>
        <v>1</v>
      </c>
    </row>
    <row r="82" spans="2:16" ht="10.5" customHeight="1"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0.5" customHeight="1">
      <c r="A83" s="4" t="s">
        <v>95</v>
      </c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0.5" customHeight="1">
      <c r="B84" s="6" t="s">
        <v>47</v>
      </c>
      <c r="C84" s="2">
        <v>33025</v>
      </c>
      <c r="D84" s="2">
        <v>1608</v>
      </c>
      <c r="E84" s="2">
        <v>5804</v>
      </c>
      <c r="F84" s="2">
        <v>4771</v>
      </c>
      <c r="G84" s="2">
        <v>10341</v>
      </c>
      <c r="H84" s="2">
        <v>6585</v>
      </c>
      <c r="I84" s="2">
        <v>214</v>
      </c>
      <c r="J84" s="2">
        <v>493</v>
      </c>
      <c r="K84" s="2">
        <v>231</v>
      </c>
      <c r="L84" s="2">
        <v>272</v>
      </c>
      <c r="M84" s="2">
        <v>231</v>
      </c>
      <c r="N84" s="2">
        <v>235</v>
      </c>
      <c r="O84" s="2">
        <v>241</v>
      </c>
      <c r="P84" s="2">
        <v>61</v>
      </c>
    </row>
    <row r="85" spans="1:16" ht="10.5" customHeight="1">
      <c r="A85" s="4" t="s">
        <v>76</v>
      </c>
      <c r="C85" s="3">
        <v>33025</v>
      </c>
      <c r="D85" s="3">
        <v>1608</v>
      </c>
      <c r="E85" s="3">
        <v>5804</v>
      </c>
      <c r="F85" s="3">
        <v>4771</v>
      </c>
      <c r="G85" s="3">
        <v>10341</v>
      </c>
      <c r="H85" s="3">
        <v>6585</v>
      </c>
      <c r="I85" s="3">
        <v>214</v>
      </c>
      <c r="J85" s="3">
        <v>493</v>
      </c>
      <c r="K85" s="3">
        <v>231</v>
      </c>
      <c r="L85" s="3">
        <v>272</v>
      </c>
      <c r="M85" s="3">
        <v>231</v>
      </c>
      <c r="N85" s="3">
        <v>235</v>
      </c>
      <c r="O85" s="3">
        <v>241</v>
      </c>
      <c r="P85" s="3">
        <v>61</v>
      </c>
    </row>
    <row r="86" spans="2:16" s="5" customFormat="1" ht="10.5" customHeight="1">
      <c r="B86" s="7" t="s">
        <v>159</v>
      </c>
      <c r="C86" s="5">
        <f>C85/40437</f>
        <v>0.8167025249153004</v>
      </c>
      <c r="D86" s="5">
        <f>D85/40437</f>
        <v>0.03976556124341568</v>
      </c>
      <c r="E86" s="5">
        <f>E85/40437</f>
        <v>0.14353191384128397</v>
      </c>
      <c r="F86" s="5">
        <f>F85/22404</f>
        <v>0.212953044099268</v>
      </c>
      <c r="G86" s="5">
        <f>G85/22404</f>
        <v>0.461569362613819</v>
      </c>
      <c r="H86" s="5">
        <f>H85/22404</f>
        <v>0.29392072844134975</v>
      </c>
      <c r="I86" s="5">
        <f>I85/22404</f>
        <v>0.009551865738261025</v>
      </c>
      <c r="J86" s="5">
        <f>J85/22404</f>
        <v>0.02200499910730227</v>
      </c>
      <c r="K86" s="5">
        <f>K85/734</f>
        <v>0.31471389645776565</v>
      </c>
      <c r="L86" s="5">
        <f>L85/734</f>
        <v>0.37057220708446864</v>
      </c>
      <c r="M86" s="5">
        <f>M85/734</f>
        <v>0.31471389645776565</v>
      </c>
      <c r="N86" s="5">
        <f>N85/235</f>
        <v>1</v>
      </c>
      <c r="O86" s="5">
        <f>O85/241</f>
        <v>1</v>
      </c>
      <c r="P86" s="5">
        <f>P85/61</f>
        <v>1</v>
      </c>
    </row>
    <row r="87" spans="2:16" ht="10.5" customHeight="1"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0.5" customHeight="1">
      <c r="A88" s="4" t="s">
        <v>96</v>
      </c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0.5" customHeight="1">
      <c r="B89" s="6" t="s">
        <v>48</v>
      </c>
      <c r="C89" s="2">
        <v>37271</v>
      </c>
      <c r="D89" s="2">
        <v>1414</v>
      </c>
      <c r="E89" s="2">
        <v>2665</v>
      </c>
      <c r="F89" s="2">
        <v>1652</v>
      </c>
      <c r="G89" s="2">
        <v>4094</v>
      </c>
      <c r="H89" s="2">
        <v>4444</v>
      </c>
      <c r="I89" s="2">
        <v>114</v>
      </c>
      <c r="J89" s="2">
        <v>278</v>
      </c>
      <c r="K89" s="2">
        <v>97</v>
      </c>
      <c r="L89" s="2">
        <v>115</v>
      </c>
      <c r="M89" s="2">
        <v>94</v>
      </c>
      <c r="N89" s="2">
        <v>603</v>
      </c>
      <c r="O89" s="2">
        <v>151</v>
      </c>
      <c r="P89" s="2">
        <v>87</v>
      </c>
    </row>
    <row r="90" spans="2:16" ht="10.5" customHeight="1">
      <c r="B90" s="6" t="s">
        <v>49</v>
      </c>
      <c r="C90" s="2">
        <v>3744</v>
      </c>
      <c r="D90" s="2">
        <v>112</v>
      </c>
      <c r="E90" s="2">
        <v>319</v>
      </c>
      <c r="F90" s="2">
        <v>221</v>
      </c>
      <c r="G90" s="2">
        <v>503</v>
      </c>
      <c r="H90" s="2">
        <v>384</v>
      </c>
      <c r="I90" s="2">
        <v>14</v>
      </c>
      <c r="J90" s="2">
        <v>56</v>
      </c>
      <c r="K90" s="2">
        <v>17</v>
      </c>
      <c r="L90" s="2">
        <v>14</v>
      </c>
      <c r="M90" s="2">
        <v>12</v>
      </c>
      <c r="N90" s="2">
        <v>25</v>
      </c>
      <c r="O90" s="2">
        <v>13</v>
      </c>
      <c r="P90" s="2">
        <v>4</v>
      </c>
    </row>
    <row r="91" spans="1:16" ht="10.5" customHeight="1">
      <c r="A91" s="4" t="s">
        <v>76</v>
      </c>
      <c r="C91" s="3">
        <v>41015</v>
      </c>
      <c r="D91" s="3">
        <v>1526</v>
      </c>
      <c r="E91" s="3">
        <v>2984</v>
      </c>
      <c r="F91" s="3">
        <v>1873</v>
      </c>
      <c r="G91" s="3">
        <v>4597</v>
      </c>
      <c r="H91" s="3">
        <v>4828</v>
      </c>
      <c r="I91" s="3">
        <v>128</v>
      </c>
      <c r="J91" s="3">
        <v>334</v>
      </c>
      <c r="K91" s="3">
        <v>114</v>
      </c>
      <c r="L91" s="3">
        <v>129</v>
      </c>
      <c r="M91" s="3">
        <v>106</v>
      </c>
      <c r="N91" s="3">
        <v>628</v>
      </c>
      <c r="O91" s="3">
        <v>164</v>
      </c>
      <c r="P91" s="3">
        <v>91</v>
      </c>
    </row>
    <row r="92" spans="2:16" s="5" customFormat="1" ht="10.5" customHeight="1">
      <c r="B92" s="7" t="s">
        <v>159</v>
      </c>
      <c r="C92" s="5">
        <f>C91/45525</f>
        <v>0.900933552992861</v>
      </c>
      <c r="D92" s="5">
        <f>D91/45525</f>
        <v>0.033520043931905545</v>
      </c>
      <c r="E92" s="5">
        <f>E91/45525</f>
        <v>0.06554640307523339</v>
      </c>
      <c r="F92" s="5">
        <f>F91/11760</f>
        <v>0.1592687074829932</v>
      </c>
      <c r="G92" s="5">
        <f>G91/11760</f>
        <v>0.3909013605442177</v>
      </c>
      <c r="H92" s="5">
        <f>H91/11760</f>
        <v>0.41054421768707483</v>
      </c>
      <c r="I92" s="5">
        <f>I91/11760</f>
        <v>0.010884353741496598</v>
      </c>
      <c r="J92" s="5">
        <f>J91/11760</f>
        <v>0.02840136054421769</v>
      </c>
      <c r="K92" s="5">
        <f>K91/349</f>
        <v>0.32664756446991405</v>
      </c>
      <c r="L92" s="5">
        <f>L91/349</f>
        <v>0.36962750716332377</v>
      </c>
      <c r="M92" s="5">
        <f>M91/349</f>
        <v>0.3037249283667622</v>
      </c>
      <c r="N92" s="5">
        <f>N91/628</f>
        <v>1</v>
      </c>
      <c r="O92" s="5">
        <f>O91/164</f>
        <v>1</v>
      </c>
      <c r="P92" s="5">
        <f>P91/91</f>
        <v>1</v>
      </c>
    </row>
    <row r="93" spans="2:16" ht="10.5" customHeight="1"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0.5" customHeight="1">
      <c r="A94" s="4" t="s">
        <v>97</v>
      </c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0.5" customHeight="1">
      <c r="B95" s="6" t="s">
        <v>48</v>
      </c>
      <c r="C95" s="2">
        <v>57772</v>
      </c>
      <c r="D95" s="2">
        <v>1330</v>
      </c>
      <c r="E95" s="2">
        <v>2598</v>
      </c>
      <c r="F95" s="2">
        <v>1418</v>
      </c>
      <c r="G95" s="2">
        <v>3691</v>
      </c>
      <c r="H95" s="2">
        <v>4544</v>
      </c>
      <c r="I95" s="2">
        <v>106</v>
      </c>
      <c r="J95" s="2">
        <v>224</v>
      </c>
      <c r="K95" s="2">
        <v>86</v>
      </c>
      <c r="L95" s="2">
        <v>134</v>
      </c>
      <c r="M95" s="2">
        <v>116</v>
      </c>
      <c r="N95" s="2">
        <v>1228</v>
      </c>
      <c r="O95" s="2">
        <v>294</v>
      </c>
      <c r="P95" s="2">
        <v>176</v>
      </c>
    </row>
    <row r="96" spans="1:16" ht="10.5" customHeight="1">
      <c r="A96" s="4" t="s">
        <v>76</v>
      </c>
      <c r="C96" s="3">
        <v>57772</v>
      </c>
      <c r="D96" s="3">
        <v>1330</v>
      </c>
      <c r="E96" s="3">
        <v>2598</v>
      </c>
      <c r="F96" s="3">
        <v>1418</v>
      </c>
      <c r="G96" s="3">
        <v>3691</v>
      </c>
      <c r="H96" s="3">
        <v>4544</v>
      </c>
      <c r="I96" s="3">
        <v>106</v>
      </c>
      <c r="J96" s="3">
        <v>224</v>
      </c>
      <c r="K96" s="3">
        <v>86</v>
      </c>
      <c r="L96" s="3">
        <v>134</v>
      </c>
      <c r="M96" s="3">
        <v>116</v>
      </c>
      <c r="N96" s="3">
        <v>1228</v>
      </c>
      <c r="O96" s="3">
        <v>294</v>
      </c>
      <c r="P96" s="3">
        <v>176</v>
      </c>
    </row>
    <row r="97" spans="2:16" s="5" customFormat="1" ht="10.5" customHeight="1">
      <c r="B97" s="7" t="s">
        <v>159</v>
      </c>
      <c r="C97" s="5">
        <f>C96/61700</f>
        <v>0.9363371150729336</v>
      </c>
      <c r="D97" s="5">
        <f>D96/61700</f>
        <v>0.021555915721231767</v>
      </c>
      <c r="E97" s="5">
        <f>E96/61700</f>
        <v>0.042106969205834684</v>
      </c>
      <c r="F97" s="5">
        <f>F96/9983</f>
        <v>0.14204147049984975</v>
      </c>
      <c r="G97" s="5">
        <f>G96/9983</f>
        <v>0.3697285385154763</v>
      </c>
      <c r="H97" s="5">
        <f>H96/9983</f>
        <v>0.4551737954522689</v>
      </c>
      <c r="I97" s="5">
        <f>I96/9983</f>
        <v>0.010618050686166483</v>
      </c>
      <c r="J97" s="5">
        <f>J96/9983</f>
        <v>0.022438144846238607</v>
      </c>
      <c r="K97" s="5">
        <f>K96/336</f>
        <v>0.25595238095238093</v>
      </c>
      <c r="L97" s="5">
        <f>L96/336</f>
        <v>0.39880952380952384</v>
      </c>
      <c r="M97" s="5">
        <f>M96/336</f>
        <v>0.34523809523809523</v>
      </c>
      <c r="N97" s="5">
        <f>N96/1228</f>
        <v>1</v>
      </c>
      <c r="O97" s="5">
        <f>O96/294</f>
        <v>1</v>
      </c>
      <c r="P97" s="5">
        <f>P96/176</f>
        <v>1</v>
      </c>
    </row>
    <row r="98" spans="2:16" ht="10.5" customHeight="1"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0.5" customHeight="1">
      <c r="A99" s="4" t="s">
        <v>98</v>
      </c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0.5" customHeight="1">
      <c r="B100" s="6" t="s">
        <v>50</v>
      </c>
      <c r="C100" s="2">
        <v>32285</v>
      </c>
      <c r="D100" s="2">
        <v>564</v>
      </c>
      <c r="E100" s="2">
        <v>934</v>
      </c>
      <c r="F100" s="2">
        <v>422</v>
      </c>
      <c r="G100" s="2">
        <v>1314</v>
      </c>
      <c r="H100" s="2">
        <v>1702</v>
      </c>
      <c r="I100" s="2">
        <v>48</v>
      </c>
      <c r="J100" s="2">
        <v>47</v>
      </c>
      <c r="K100" s="2">
        <v>22</v>
      </c>
      <c r="L100" s="2">
        <v>26</v>
      </c>
      <c r="M100" s="2">
        <v>30</v>
      </c>
      <c r="N100" s="2">
        <v>970</v>
      </c>
      <c r="O100" s="2">
        <v>95</v>
      </c>
      <c r="P100" s="2">
        <v>119</v>
      </c>
    </row>
    <row r="101" spans="2:16" ht="10.5" customHeight="1">
      <c r="B101" s="6" t="s">
        <v>47</v>
      </c>
      <c r="C101" s="2">
        <v>30527</v>
      </c>
      <c r="D101" s="2">
        <v>835</v>
      </c>
      <c r="E101" s="2">
        <v>2624</v>
      </c>
      <c r="F101" s="2">
        <v>2135</v>
      </c>
      <c r="G101" s="2">
        <v>6191</v>
      </c>
      <c r="H101" s="2">
        <v>6519</v>
      </c>
      <c r="I101" s="2">
        <v>122</v>
      </c>
      <c r="J101" s="2">
        <v>173</v>
      </c>
      <c r="K101" s="2">
        <v>83</v>
      </c>
      <c r="L101" s="2">
        <v>111</v>
      </c>
      <c r="M101" s="2">
        <v>95</v>
      </c>
      <c r="N101" s="2">
        <v>393</v>
      </c>
      <c r="O101" s="2">
        <v>145</v>
      </c>
      <c r="P101" s="2">
        <v>60</v>
      </c>
    </row>
    <row r="102" spans="1:16" ht="10.5" customHeight="1">
      <c r="A102" s="4" t="s">
        <v>76</v>
      </c>
      <c r="C102" s="3">
        <v>62812</v>
      </c>
      <c r="D102" s="3">
        <v>1399</v>
      </c>
      <c r="E102" s="3">
        <v>3558</v>
      </c>
      <c r="F102" s="3">
        <v>2557</v>
      </c>
      <c r="G102" s="3">
        <v>7505</v>
      </c>
      <c r="H102" s="3">
        <v>8221</v>
      </c>
      <c r="I102" s="3">
        <v>170</v>
      </c>
      <c r="J102" s="3">
        <v>220</v>
      </c>
      <c r="K102" s="3">
        <v>105</v>
      </c>
      <c r="L102" s="3">
        <v>137</v>
      </c>
      <c r="M102" s="3">
        <v>125</v>
      </c>
      <c r="N102" s="3">
        <v>1363</v>
      </c>
      <c r="O102" s="3">
        <v>240</v>
      </c>
      <c r="P102" s="3">
        <v>179</v>
      </c>
    </row>
    <row r="103" spans="2:16" s="5" customFormat="1" ht="10.5" customHeight="1">
      <c r="B103" s="7" t="s">
        <v>159</v>
      </c>
      <c r="C103" s="5">
        <f>C102/67769</f>
        <v>0.9268544614794375</v>
      </c>
      <c r="D103" s="5">
        <f>D102/67769</f>
        <v>0.020643657129365934</v>
      </c>
      <c r="E103" s="5">
        <f>E102/67769</f>
        <v>0.05250188139119656</v>
      </c>
      <c r="F103" s="5">
        <f>F102/18673</f>
        <v>0.13693568253628233</v>
      </c>
      <c r="G103" s="5">
        <f>G102/18673</f>
        <v>0.4019172066620254</v>
      </c>
      <c r="H103" s="5">
        <f>H102/18673</f>
        <v>0.4402613399025331</v>
      </c>
      <c r="I103" s="5">
        <f>I102/18673</f>
        <v>0.009104053981684786</v>
      </c>
      <c r="J103" s="5">
        <f>J102/18673</f>
        <v>0.011781716917474429</v>
      </c>
      <c r="K103" s="5">
        <f>K102/367</f>
        <v>0.28610354223433243</v>
      </c>
      <c r="L103" s="5">
        <f>L102/367</f>
        <v>0.37329700272479566</v>
      </c>
      <c r="M103" s="5">
        <f>M102/367</f>
        <v>0.3405994550408719</v>
      </c>
      <c r="N103" s="5">
        <f>N102/1363</f>
        <v>1</v>
      </c>
      <c r="O103" s="5">
        <f>O102/240</f>
        <v>1</v>
      </c>
      <c r="P103" s="5">
        <f>P102/179</f>
        <v>1</v>
      </c>
    </row>
    <row r="104" spans="2:16" ht="10.5" customHeight="1"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0.5" customHeight="1">
      <c r="A105" s="4" t="s">
        <v>99</v>
      </c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0.5" customHeight="1">
      <c r="B106" s="6" t="s">
        <v>50</v>
      </c>
      <c r="C106" s="2">
        <v>6349</v>
      </c>
      <c r="D106" s="2">
        <v>357</v>
      </c>
      <c r="E106" s="2">
        <v>1178</v>
      </c>
      <c r="F106" s="2">
        <v>2172</v>
      </c>
      <c r="G106" s="2">
        <v>3845</v>
      </c>
      <c r="H106" s="2">
        <v>2590</v>
      </c>
      <c r="I106" s="2">
        <v>68</v>
      </c>
      <c r="J106" s="2">
        <v>120</v>
      </c>
      <c r="K106" s="2">
        <v>53</v>
      </c>
      <c r="L106" s="2">
        <v>61</v>
      </c>
      <c r="M106" s="2">
        <v>43</v>
      </c>
      <c r="N106" s="2">
        <v>34</v>
      </c>
      <c r="O106" s="2">
        <v>74</v>
      </c>
      <c r="P106" s="2">
        <v>3</v>
      </c>
    </row>
    <row r="107" spans="2:16" ht="10.5" customHeight="1">
      <c r="B107" s="6" t="s">
        <v>47</v>
      </c>
      <c r="C107" s="2">
        <v>25259</v>
      </c>
      <c r="D107" s="2">
        <v>1222</v>
      </c>
      <c r="E107" s="2">
        <v>3608</v>
      </c>
      <c r="F107" s="2">
        <v>5970</v>
      </c>
      <c r="G107" s="2">
        <v>16033</v>
      </c>
      <c r="H107" s="2">
        <v>11716</v>
      </c>
      <c r="I107" s="2">
        <v>293</v>
      </c>
      <c r="J107" s="2">
        <v>431</v>
      </c>
      <c r="K107" s="2">
        <v>202</v>
      </c>
      <c r="L107" s="2">
        <v>222</v>
      </c>
      <c r="M107" s="2">
        <v>138</v>
      </c>
      <c r="N107" s="2">
        <v>160</v>
      </c>
      <c r="O107" s="2">
        <v>200</v>
      </c>
      <c r="P107" s="2">
        <v>16</v>
      </c>
    </row>
    <row r="108" spans="2:16" ht="10.5" customHeight="1">
      <c r="B108" s="6" t="s">
        <v>41</v>
      </c>
      <c r="C108" s="2">
        <v>5989</v>
      </c>
      <c r="D108" s="2">
        <v>702</v>
      </c>
      <c r="E108" s="2">
        <v>1481</v>
      </c>
      <c r="F108" s="2">
        <v>1309</v>
      </c>
      <c r="G108" s="2">
        <v>6962</v>
      </c>
      <c r="H108" s="2">
        <v>1951</v>
      </c>
      <c r="I108" s="2">
        <v>91</v>
      </c>
      <c r="J108" s="2">
        <v>176</v>
      </c>
      <c r="K108" s="2">
        <v>78</v>
      </c>
      <c r="L108" s="2">
        <v>110</v>
      </c>
      <c r="M108" s="2">
        <v>35</v>
      </c>
      <c r="N108" s="2">
        <v>41</v>
      </c>
      <c r="O108" s="2">
        <v>60</v>
      </c>
      <c r="P108" s="2">
        <v>15</v>
      </c>
    </row>
    <row r="109" spans="2:16" ht="10.5" customHeight="1">
      <c r="B109" s="6" t="s">
        <v>46</v>
      </c>
      <c r="C109" s="2">
        <v>1208</v>
      </c>
      <c r="D109" s="2">
        <v>99</v>
      </c>
      <c r="E109" s="2">
        <v>237</v>
      </c>
      <c r="F109" s="2">
        <v>232</v>
      </c>
      <c r="G109" s="2">
        <v>641</v>
      </c>
      <c r="H109" s="2">
        <v>239</v>
      </c>
      <c r="I109" s="2">
        <v>14</v>
      </c>
      <c r="J109" s="2">
        <v>34</v>
      </c>
      <c r="K109" s="2">
        <v>12</v>
      </c>
      <c r="L109" s="2">
        <v>12</v>
      </c>
      <c r="M109" s="2">
        <v>8</v>
      </c>
      <c r="N109" s="2">
        <v>2</v>
      </c>
      <c r="O109" s="2">
        <v>7</v>
      </c>
      <c r="P109" s="2">
        <v>4</v>
      </c>
    </row>
    <row r="110" spans="1:16" ht="10.5" customHeight="1">
      <c r="A110" s="4" t="s">
        <v>76</v>
      </c>
      <c r="C110" s="3">
        <v>38805</v>
      </c>
      <c r="D110" s="3">
        <v>2380</v>
      </c>
      <c r="E110" s="3">
        <v>6504</v>
      </c>
      <c r="F110" s="3">
        <v>9683</v>
      </c>
      <c r="G110" s="3">
        <v>27481</v>
      </c>
      <c r="H110" s="3">
        <v>16496</v>
      </c>
      <c r="I110" s="3">
        <v>466</v>
      </c>
      <c r="J110" s="3">
        <v>761</v>
      </c>
      <c r="K110" s="3">
        <v>345</v>
      </c>
      <c r="L110" s="3">
        <v>405</v>
      </c>
      <c r="M110" s="3">
        <v>224</v>
      </c>
      <c r="N110" s="3">
        <v>237</v>
      </c>
      <c r="O110" s="3">
        <v>341</v>
      </c>
      <c r="P110" s="3">
        <v>38</v>
      </c>
    </row>
    <row r="111" spans="2:16" s="5" customFormat="1" ht="10.5" customHeight="1">
      <c r="B111" s="7" t="s">
        <v>159</v>
      </c>
      <c r="C111" s="5">
        <f>C110/47689</f>
        <v>0.8137096605087127</v>
      </c>
      <c r="D111" s="5">
        <f>D110/47689</f>
        <v>0.04990668707668435</v>
      </c>
      <c r="E111" s="5">
        <f>E110/47689</f>
        <v>0.13638365241460296</v>
      </c>
      <c r="F111" s="5">
        <f>F110/54887</f>
        <v>0.1764170022045293</v>
      </c>
      <c r="G111" s="5">
        <f>G110/54887</f>
        <v>0.5006832218922513</v>
      </c>
      <c r="H111" s="5">
        <f>H110/54887</f>
        <v>0.3005447555887551</v>
      </c>
      <c r="I111" s="5">
        <f>I110/54887</f>
        <v>0.008490170714376811</v>
      </c>
      <c r="J111" s="5">
        <f>J110/54887</f>
        <v>0.013864849600087452</v>
      </c>
      <c r="K111" s="5">
        <f>K110/974</f>
        <v>0.3542094455852156</v>
      </c>
      <c r="L111" s="5">
        <f>L110/974</f>
        <v>0.41581108829568786</v>
      </c>
      <c r="M111" s="5">
        <f>M110/974</f>
        <v>0.2299794661190965</v>
      </c>
      <c r="N111" s="5">
        <f>N110/237</f>
        <v>1</v>
      </c>
      <c r="O111" s="5">
        <f>O110/341</f>
        <v>1</v>
      </c>
      <c r="P111" s="5">
        <f>P110/38</f>
        <v>1</v>
      </c>
    </row>
    <row r="112" spans="2:16" ht="10.5" customHeight="1"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0.5" customHeight="1">
      <c r="A113" s="4" t="s">
        <v>100</v>
      </c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0.5" customHeight="1">
      <c r="B114" s="6" t="s">
        <v>50</v>
      </c>
      <c r="C114" s="2">
        <v>48568</v>
      </c>
      <c r="D114" s="2">
        <v>933</v>
      </c>
      <c r="E114" s="2">
        <v>2322</v>
      </c>
      <c r="F114" s="2">
        <v>1327</v>
      </c>
      <c r="G114" s="2">
        <v>3669</v>
      </c>
      <c r="H114" s="2">
        <v>3763</v>
      </c>
      <c r="I114" s="2">
        <v>139</v>
      </c>
      <c r="J114" s="2">
        <v>174</v>
      </c>
      <c r="K114" s="2">
        <v>82</v>
      </c>
      <c r="L114" s="2">
        <v>101</v>
      </c>
      <c r="M114" s="2">
        <v>83</v>
      </c>
      <c r="N114" s="2">
        <v>999</v>
      </c>
      <c r="O114" s="2">
        <v>173</v>
      </c>
      <c r="P114" s="2">
        <v>132</v>
      </c>
    </row>
    <row r="115" spans="1:16" ht="10.5" customHeight="1">
      <c r="A115" s="4" t="s">
        <v>76</v>
      </c>
      <c r="C115" s="3">
        <v>48568</v>
      </c>
      <c r="D115" s="3">
        <v>933</v>
      </c>
      <c r="E115" s="3">
        <v>2322</v>
      </c>
      <c r="F115" s="3">
        <v>1327</v>
      </c>
      <c r="G115" s="3">
        <v>3669</v>
      </c>
      <c r="H115" s="3">
        <v>3763</v>
      </c>
      <c r="I115" s="3">
        <v>139</v>
      </c>
      <c r="J115" s="3">
        <v>174</v>
      </c>
      <c r="K115" s="3">
        <v>82</v>
      </c>
      <c r="L115" s="3">
        <v>101</v>
      </c>
      <c r="M115" s="3">
        <v>83</v>
      </c>
      <c r="N115" s="3">
        <v>999</v>
      </c>
      <c r="O115" s="3">
        <v>173</v>
      </c>
      <c r="P115" s="3">
        <v>132</v>
      </c>
    </row>
    <row r="116" spans="2:16" s="5" customFormat="1" ht="10.5" customHeight="1">
      <c r="B116" s="7" t="s">
        <v>159</v>
      </c>
      <c r="C116" s="5">
        <f>C115/51823</f>
        <v>0.9371900507496671</v>
      </c>
      <c r="D116" s="5">
        <f>D115/51823</f>
        <v>0.01800358913995716</v>
      </c>
      <c r="E116" s="5">
        <f>E115/51823</f>
        <v>0.044806360110375705</v>
      </c>
      <c r="F116" s="5">
        <f>F115/9072</f>
        <v>0.1462742504409171</v>
      </c>
      <c r="G116" s="5">
        <f>G115/9072</f>
        <v>0.4044312169312169</v>
      </c>
      <c r="H116" s="5">
        <f>H115/9072</f>
        <v>0.4147927689594356</v>
      </c>
      <c r="I116" s="5">
        <f>I115/9072</f>
        <v>0.015321869488536154</v>
      </c>
      <c r="J116" s="5">
        <f>J115/9072</f>
        <v>0.01917989417989418</v>
      </c>
      <c r="K116" s="5">
        <f>K115/266</f>
        <v>0.3082706766917293</v>
      </c>
      <c r="L116" s="5">
        <f>L115/266</f>
        <v>0.37969924812030076</v>
      </c>
      <c r="M116" s="5">
        <f>M115/266</f>
        <v>0.31203007518796994</v>
      </c>
      <c r="N116" s="5">
        <f>N115/999</f>
        <v>1</v>
      </c>
      <c r="O116" s="5">
        <f>O115/173</f>
        <v>1</v>
      </c>
      <c r="P116" s="5">
        <f>P115/132</f>
        <v>1</v>
      </c>
    </row>
    <row r="117" spans="2:16" ht="10.5" customHeight="1"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0.5" customHeight="1">
      <c r="A118" s="4" t="s">
        <v>101</v>
      </c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0.5" customHeight="1">
      <c r="B119" s="6" t="s">
        <v>51</v>
      </c>
      <c r="C119" s="2">
        <v>6592</v>
      </c>
      <c r="D119" s="2">
        <v>718</v>
      </c>
      <c r="E119" s="2">
        <v>2435</v>
      </c>
      <c r="F119" s="2">
        <v>1969</v>
      </c>
      <c r="G119" s="2">
        <v>7984</v>
      </c>
      <c r="H119" s="2">
        <v>1763</v>
      </c>
      <c r="I119" s="2">
        <v>84</v>
      </c>
      <c r="J119" s="2">
        <v>277</v>
      </c>
      <c r="K119" s="2">
        <v>101</v>
      </c>
      <c r="L119" s="2">
        <v>126</v>
      </c>
      <c r="M119" s="2">
        <v>66</v>
      </c>
      <c r="N119" s="2">
        <v>53</v>
      </c>
      <c r="O119" s="2">
        <v>47</v>
      </c>
      <c r="P119" s="2">
        <v>17</v>
      </c>
    </row>
    <row r="120" spans="2:16" ht="10.5" customHeight="1">
      <c r="B120" s="6" t="s">
        <v>46</v>
      </c>
      <c r="C120" s="2">
        <v>8463</v>
      </c>
      <c r="D120" s="2">
        <v>514</v>
      </c>
      <c r="E120" s="2">
        <v>1991</v>
      </c>
      <c r="F120" s="2">
        <v>1633</v>
      </c>
      <c r="G120" s="2">
        <v>4061</v>
      </c>
      <c r="H120" s="2">
        <v>1472</v>
      </c>
      <c r="I120" s="2">
        <v>73</v>
      </c>
      <c r="J120" s="2">
        <v>319</v>
      </c>
      <c r="K120" s="2">
        <v>70</v>
      </c>
      <c r="L120" s="2">
        <v>83</v>
      </c>
      <c r="M120" s="2">
        <v>50</v>
      </c>
      <c r="N120" s="2">
        <v>32</v>
      </c>
      <c r="O120" s="2">
        <v>48</v>
      </c>
      <c r="P120" s="2">
        <v>19</v>
      </c>
    </row>
    <row r="121" spans="2:16" ht="10.5" customHeight="1">
      <c r="B121" s="6" t="s">
        <v>52</v>
      </c>
      <c r="C121" s="2">
        <v>406</v>
      </c>
      <c r="D121" s="2">
        <v>46</v>
      </c>
      <c r="E121" s="2">
        <v>180</v>
      </c>
      <c r="F121" s="2">
        <v>143</v>
      </c>
      <c r="G121" s="2">
        <v>408</v>
      </c>
      <c r="H121" s="2">
        <v>111</v>
      </c>
      <c r="I121" s="2">
        <v>8</v>
      </c>
      <c r="J121" s="2">
        <v>18</v>
      </c>
      <c r="K121" s="2">
        <v>9</v>
      </c>
      <c r="L121" s="2">
        <v>7</v>
      </c>
      <c r="M121" s="2">
        <v>4</v>
      </c>
      <c r="N121" s="2">
        <v>2</v>
      </c>
      <c r="O121" s="2">
        <v>2</v>
      </c>
      <c r="P121" s="2">
        <v>1</v>
      </c>
    </row>
    <row r="122" spans="1:16" ht="10.5" customHeight="1">
      <c r="A122" s="4" t="s">
        <v>76</v>
      </c>
      <c r="C122" s="3">
        <v>15461</v>
      </c>
      <c r="D122" s="3">
        <v>1278</v>
      </c>
      <c r="E122" s="3">
        <v>4606</v>
      </c>
      <c r="F122" s="3">
        <v>3745</v>
      </c>
      <c r="G122" s="3">
        <v>12453</v>
      </c>
      <c r="H122" s="3">
        <v>3346</v>
      </c>
      <c r="I122" s="3">
        <v>165</v>
      </c>
      <c r="J122" s="3">
        <v>614</v>
      </c>
      <c r="K122" s="3">
        <v>180</v>
      </c>
      <c r="L122" s="3">
        <v>216</v>
      </c>
      <c r="M122" s="3">
        <v>120</v>
      </c>
      <c r="N122" s="3">
        <v>87</v>
      </c>
      <c r="O122" s="3">
        <v>97</v>
      </c>
      <c r="P122" s="3">
        <v>37</v>
      </c>
    </row>
    <row r="123" spans="2:16" s="5" customFormat="1" ht="10.5" customHeight="1">
      <c r="B123" s="7" t="s">
        <v>159</v>
      </c>
      <c r="C123" s="5">
        <f>C122/21345</f>
        <v>0.7243382525181541</v>
      </c>
      <c r="D123" s="5">
        <f>D122/21345</f>
        <v>0.05987350667603654</v>
      </c>
      <c r="E123" s="5">
        <f>E122/21345</f>
        <v>0.21578824080580933</v>
      </c>
      <c r="F123" s="5">
        <f>F122/20323</f>
        <v>0.1842739752989224</v>
      </c>
      <c r="G123" s="5">
        <f>G122/20323</f>
        <v>0.6127540225360429</v>
      </c>
      <c r="H123" s="5">
        <f>H122/20323</f>
        <v>0.1646410470895045</v>
      </c>
      <c r="I123" s="5">
        <f>I122/20323</f>
        <v>0.008118880086601388</v>
      </c>
      <c r="J123" s="5">
        <f>J122/20323</f>
        <v>0.0302120749889288</v>
      </c>
      <c r="K123" s="5">
        <f>K122/516</f>
        <v>0.3488372093023256</v>
      </c>
      <c r="L123" s="5">
        <f>L122/516</f>
        <v>0.4186046511627907</v>
      </c>
      <c r="M123" s="5">
        <f>M122/516</f>
        <v>0.23255813953488372</v>
      </c>
      <c r="N123" s="5">
        <f>N122/87</f>
        <v>1</v>
      </c>
      <c r="O123" s="5">
        <f>O122/97</f>
        <v>1</v>
      </c>
      <c r="P123" s="5">
        <f>P122/37</f>
        <v>1</v>
      </c>
    </row>
    <row r="124" spans="2:16" ht="10.5" customHeight="1"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0.5" customHeight="1">
      <c r="A125" s="4" t="s">
        <v>102</v>
      </c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0.5" customHeight="1">
      <c r="B126" s="6" t="s">
        <v>50</v>
      </c>
      <c r="C126" s="2">
        <v>35418</v>
      </c>
      <c r="D126" s="2">
        <v>1399</v>
      </c>
      <c r="E126" s="2">
        <v>4189</v>
      </c>
      <c r="F126" s="2">
        <v>3985</v>
      </c>
      <c r="G126" s="2">
        <v>7694</v>
      </c>
      <c r="H126" s="2">
        <v>6097</v>
      </c>
      <c r="I126" s="2">
        <v>155</v>
      </c>
      <c r="J126" s="2">
        <v>395</v>
      </c>
      <c r="K126" s="2">
        <v>174</v>
      </c>
      <c r="L126" s="2">
        <v>167</v>
      </c>
      <c r="M126" s="2">
        <v>139</v>
      </c>
      <c r="N126" s="2">
        <v>278</v>
      </c>
      <c r="O126" s="2">
        <v>198</v>
      </c>
      <c r="P126" s="2">
        <v>51</v>
      </c>
    </row>
    <row r="127" spans="1:16" ht="10.5" customHeight="1">
      <c r="A127" s="4" t="s">
        <v>76</v>
      </c>
      <c r="C127" s="3">
        <v>35418</v>
      </c>
      <c r="D127" s="3">
        <v>1399</v>
      </c>
      <c r="E127" s="3">
        <v>4189</v>
      </c>
      <c r="F127" s="3">
        <v>3985</v>
      </c>
      <c r="G127" s="3">
        <v>7694</v>
      </c>
      <c r="H127" s="3">
        <v>6097</v>
      </c>
      <c r="I127" s="3">
        <v>155</v>
      </c>
      <c r="J127" s="3">
        <v>395</v>
      </c>
      <c r="K127" s="3">
        <v>174</v>
      </c>
      <c r="L127" s="3">
        <v>167</v>
      </c>
      <c r="M127" s="3">
        <v>139</v>
      </c>
      <c r="N127" s="3">
        <v>278</v>
      </c>
      <c r="O127" s="3">
        <v>198</v>
      </c>
      <c r="P127" s="3">
        <v>51</v>
      </c>
    </row>
    <row r="128" spans="2:16" s="5" customFormat="1" ht="10.5" customHeight="1">
      <c r="B128" s="7" t="s">
        <v>159</v>
      </c>
      <c r="C128" s="5">
        <f>C127/41006</f>
        <v>0.8637272594254499</v>
      </c>
      <c r="D128" s="5">
        <f>D127/41006</f>
        <v>0.03411695849387895</v>
      </c>
      <c r="E128" s="5">
        <f>E127/41006</f>
        <v>0.10215578208067112</v>
      </c>
      <c r="F128" s="5">
        <f>F127/18326</f>
        <v>0.21745061661028048</v>
      </c>
      <c r="G128" s="5">
        <f>G127/18326</f>
        <v>0.41984066353814253</v>
      </c>
      <c r="H128" s="5">
        <f>H127/18326</f>
        <v>0.3326967150496562</v>
      </c>
      <c r="I128" s="5">
        <f>I127/18326</f>
        <v>0.008457928625995852</v>
      </c>
      <c r="J128" s="5">
        <f>J127/18326</f>
        <v>0.021554076175924915</v>
      </c>
      <c r="K128" s="5">
        <f>K127/480</f>
        <v>0.3625</v>
      </c>
      <c r="L128" s="5">
        <f>L127/480</f>
        <v>0.34791666666666665</v>
      </c>
      <c r="M128" s="5">
        <f>M127/480</f>
        <v>0.28958333333333336</v>
      </c>
      <c r="N128" s="5">
        <f>N127/278</f>
        <v>1</v>
      </c>
      <c r="O128" s="5">
        <f>O127/198</f>
        <v>1</v>
      </c>
      <c r="P128" s="5">
        <f>P127/51</f>
        <v>1</v>
      </c>
    </row>
    <row r="129" spans="2:16" ht="10.5" customHeight="1"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0.5" customHeight="1">
      <c r="A130" s="4" t="s">
        <v>103</v>
      </c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0.5" customHeight="1">
      <c r="B131" s="6" t="s">
        <v>49</v>
      </c>
      <c r="C131" s="2">
        <v>37025</v>
      </c>
      <c r="D131" s="2">
        <v>1197</v>
      </c>
      <c r="E131" s="2">
        <v>4116</v>
      </c>
      <c r="F131" s="2">
        <v>3360</v>
      </c>
      <c r="G131" s="2">
        <v>8763</v>
      </c>
      <c r="H131" s="2">
        <v>8305</v>
      </c>
      <c r="I131" s="2">
        <v>121</v>
      </c>
      <c r="J131" s="2">
        <v>281</v>
      </c>
      <c r="K131" s="2">
        <v>135</v>
      </c>
      <c r="L131" s="2">
        <v>200</v>
      </c>
      <c r="M131" s="2">
        <v>159</v>
      </c>
      <c r="N131" s="2">
        <v>376</v>
      </c>
      <c r="O131" s="2">
        <v>216</v>
      </c>
      <c r="P131" s="2">
        <v>44</v>
      </c>
    </row>
    <row r="132" spans="1:16" ht="10.5" customHeight="1">
      <c r="A132" s="4" t="s">
        <v>76</v>
      </c>
      <c r="C132" s="3">
        <v>37025</v>
      </c>
      <c r="D132" s="3">
        <v>1197</v>
      </c>
      <c r="E132" s="3">
        <v>4116</v>
      </c>
      <c r="F132" s="3">
        <v>3360</v>
      </c>
      <c r="G132" s="3">
        <v>8763</v>
      </c>
      <c r="H132" s="3">
        <v>8305</v>
      </c>
      <c r="I132" s="3">
        <v>121</v>
      </c>
      <c r="J132" s="3">
        <v>281</v>
      </c>
      <c r="K132" s="3">
        <v>135</v>
      </c>
      <c r="L132" s="3">
        <v>200</v>
      </c>
      <c r="M132" s="3">
        <v>159</v>
      </c>
      <c r="N132" s="3">
        <v>376</v>
      </c>
      <c r="O132" s="3">
        <v>216</v>
      </c>
      <c r="P132" s="3">
        <v>44</v>
      </c>
    </row>
    <row r="133" spans="2:16" s="5" customFormat="1" ht="10.5" customHeight="1">
      <c r="B133" s="7" t="s">
        <v>159</v>
      </c>
      <c r="C133" s="5">
        <f>C132/42338</f>
        <v>0.8745098965468373</v>
      </c>
      <c r="D133" s="5">
        <f>D132/42338</f>
        <v>0.028272473900514905</v>
      </c>
      <c r="E133" s="5">
        <f>E132/42338</f>
        <v>0.09721762955264773</v>
      </c>
      <c r="F133" s="5">
        <f>F132/20830</f>
        <v>0.1613058089294287</v>
      </c>
      <c r="G133" s="5">
        <f>G132/20830</f>
        <v>0.42069131060969756</v>
      </c>
      <c r="H133" s="5">
        <f>H132/20830</f>
        <v>0.3987037926068171</v>
      </c>
      <c r="I133" s="5">
        <f>I132/20830</f>
        <v>0.005808929428708594</v>
      </c>
      <c r="J133" s="5">
        <f>J132/20830</f>
        <v>0.013490158425348056</v>
      </c>
      <c r="K133" s="5">
        <f>K132/494</f>
        <v>0.2732793522267207</v>
      </c>
      <c r="L133" s="5">
        <f>L132/494</f>
        <v>0.4048582995951417</v>
      </c>
      <c r="M133" s="5">
        <f>M132/494</f>
        <v>0.32186234817813764</v>
      </c>
      <c r="N133" s="5">
        <f>N132/376</f>
        <v>1</v>
      </c>
      <c r="O133" s="5">
        <f>O132/216</f>
        <v>1</v>
      </c>
      <c r="P133" s="5">
        <f>P132/44</f>
        <v>1</v>
      </c>
    </row>
    <row r="134" spans="2:16" ht="10.5" customHeight="1"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0.5" customHeight="1">
      <c r="A135" s="4" t="s">
        <v>104</v>
      </c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0.5" customHeight="1">
      <c r="B136" s="6" t="s">
        <v>50</v>
      </c>
      <c r="C136" s="2">
        <v>26021</v>
      </c>
      <c r="D136" s="2">
        <v>1116</v>
      </c>
      <c r="E136" s="2">
        <v>4016</v>
      </c>
      <c r="F136" s="2">
        <v>3215</v>
      </c>
      <c r="G136" s="2">
        <v>6637</v>
      </c>
      <c r="H136" s="2">
        <v>5594</v>
      </c>
      <c r="I136" s="2">
        <v>188</v>
      </c>
      <c r="J136" s="2">
        <v>326</v>
      </c>
      <c r="K136" s="2">
        <v>131</v>
      </c>
      <c r="L136" s="2">
        <v>128</v>
      </c>
      <c r="M136" s="2">
        <v>96</v>
      </c>
      <c r="N136" s="2">
        <v>187</v>
      </c>
      <c r="O136" s="2">
        <v>147</v>
      </c>
      <c r="P136" s="2">
        <v>26</v>
      </c>
    </row>
    <row r="137" spans="2:16" ht="10.5" customHeight="1">
      <c r="B137" s="6" t="s">
        <v>53</v>
      </c>
      <c r="C137" s="2">
        <v>4278</v>
      </c>
      <c r="D137" s="2">
        <v>197</v>
      </c>
      <c r="E137" s="2">
        <v>582</v>
      </c>
      <c r="F137" s="2">
        <v>510</v>
      </c>
      <c r="G137" s="2">
        <v>1188</v>
      </c>
      <c r="H137" s="2">
        <v>1123</v>
      </c>
      <c r="I137" s="2">
        <v>32</v>
      </c>
      <c r="J137" s="2">
        <v>62</v>
      </c>
      <c r="K137" s="2">
        <v>40</v>
      </c>
      <c r="L137" s="2">
        <v>26</v>
      </c>
      <c r="M137" s="2">
        <v>30</v>
      </c>
      <c r="N137" s="2">
        <v>20</v>
      </c>
      <c r="O137" s="2">
        <v>25</v>
      </c>
      <c r="P137" s="2">
        <v>15</v>
      </c>
    </row>
    <row r="138" spans="1:16" ht="10.5" customHeight="1">
      <c r="A138" s="4" t="s">
        <v>76</v>
      </c>
      <c r="C138" s="3">
        <v>30299</v>
      </c>
      <c r="D138" s="3">
        <v>1313</v>
      </c>
      <c r="E138" s="3">
        <v>4598</v>
      </c>
      <c r="F138" s="3">
        <v>3725</v>
      </c>
      <c r="G138" s="3">
        <v>7825</v>
      </c>
      <c r="H138" s="3">
        <v>6717</v>
      </c>
      <c r="I138" s="3">
        <v>220</v>
      </c>
      <c r="J138" s="3">
        <v>388</v>
      </c>
      <c r="K138" s="3">
        <v>171</v>
      </c>
      <c r="L138" s="3">
        <v>154</v>
      </c>
      <c r="M138" s="3">
        <v>126</v>
      </c>
      <c r="N138" s="3">
        <v>207</v>
      </c>
      <c r="O138" s="3">
        <v>172</v>
      </c>
      <c r="P138" s="3">
        <v>41</v>
      </c>
    </row>
    <row r="139" spans="2:16" s="5" customFormat="1" ht="10.5" customHeight="1">
      <c r="B139" s="7" t="s">
        <v>159</v>
      </c>
      <c r="C139" s="5">
        <f>C138/36210</f>
        <v>0.8367578017122342</v>
      </c>
      <c r="D139" s="5">
        <f>D138/36210</f>
        <v>0.03626070146368406</v>
      </c>
      <c r="E139" s="5">
        <f>E138/36210</f>
        <v>0.12698149682408175</v>
      </c>
      <c r="F139" s="5">
        <f>F138/18875</f>
        <v>0.19735099337748344</v>
      </c>
      <c r="G139" s="5">
        <f>G138/18875</f>
        <v>0.41456953642384103</v>
      </c>
      <c r="H139" s="5">
        <f>H138/18875</f>
        <v>0.3558675496688742</v>
      </c>
      <c r="I139" s="5">
        <f>I138/18875</f>
        <v>0.011655629139072848</v>
      </c>
      <c r="J139" s="5">
        <f>J138/18875</f>
        <v>0.020556291390728478</v>
      </c>
      <c r="K139" s="5">
        <f>K138/451</f>
        <v>0.37915742793791574</v>
      </c>
      <c r="L139" s="5">
        <f>L138/451</f>
        <v>0.34146341463414637</v>
      </c>
      <c r="M139" s="5">
        <f>M138/451</f>
        <v>0.2793791574279379</v>
      </c>
      <c r="N139" s="5">
        <f>N138/207</f>
        <v>1</v>
      </c>
      <c r="O139" s="5">
        <f>O138/172</f>
        <v>1</v>
      </c>
      <c r="P139" s="5">
        <f>P138/41</f>
        <v>1</v>
      </c>
    </row>
    <row r="140" spans="2:16" ht="10.5" customHeight="1"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0.5" customHeight="1">
      <c r="A141" s="4" t="s">
        <v>105</v>
      </c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0.5" customHeight="1">
      <c r="B142" s="6" t="s">
        <v>49</v>
      </c>
      <c r="C142" s="2">
        <v>18086</v>
      </c>
      <c r="D142" s="2">
        <v>618</v>
      </c>
      <c r="E142" s="2">
        <v>1475</v>
      </c>
      <c r="F142" s="2">
        <v>1784</v>
      </c>
      <c r="G142" s="2">
        <v>4806</v>
      </c>
      <c r="H142" s="2">
        <v>5850</v>
      </c>
      <c r="I142" s="2">
        <v>56</v>
      </c>
      <c r="J142" s="2">
        <v>151</v>
      </c>
      <c r="K142" s="2">
        <v>63</v>
      </c>
      <c r="L142" s="2">
        <v>94</v>
      </c>
      <c r="M142" s="2">
        <v>62</v>
      </c>
      <c r="N142" s="2">
        <v>169</v>
      </c>
      <c r="O142" s="2">
        <v>168</v>
      </c>
      <c r="P142" s="2">
        <v>12</v>
      </c>
    </row>
    <row r="143" spans="2:16" ht="10.5" customHeight="1">
      <c r="B143" s="6" t="s">
        <v>53</v>
      </c>
      <c r="C143" s="2">
        <v>26940</v>
      </c>
      <c r="D143" s="2">
        <v>824</v>
      </c>
      <c r="E143" s="2">
        <v>2252</v>
      </c>
      <c r="F143" s="2">
        <v>2986</v>
      </c>
      <c r="G143" s="2">
        <v>7062</v>
      </c>
      <c r="H143" s="2">
        <v>12401</v>
      </c>
      <c r="I143" s="2">
        <v>56</v>
      </c>
      <c r="J143" s="2">
        <v>173</v>
      </c>
      <c r="K143" s="2">
        <v>69</v>
      </c>
      <c r="L143" s="2">
        <v>89</v>
      </c>
      <c r="M143" s="2">
        <v>65</v>
      </c>
      <c r="N143" s="2">
        <v>199</v>
      </c>
      <c r="O143" s="2">
        <v>195</v>
      </c>
      <c r="P143" s="2">
        <v>16</v>
      </c>
    </row>
    <row r="144" spans="1:16" ht="10.5" customHeight="1">
      <c r="A144" s="4" t="s">
        <v>76</v>
      </c>
      <c r="C144" s="3">
        <v>45026</v>
      </c>
      <c r="D144" s="3">
        <v>1442</v>
      </c>
      <c r="E144" s="3">
        <v>3727</v>
      </c>
      <c r="F144" s="3">
        <v>4770</v>
      </c>
      <c r="G144" s="3">
        <v>11868</v>
      </c>
      <c r="H144" s="3">
        <v>18251</v>
      </c>
      <c r="I144" s="3">
        <v>112</v>
      </c>
      <c r="J144" s="3">
        <v>324</v>
      </c>
      <c r="K144" s="3">
        <v>132</v>
      </c>
      <c r="L144" s="3">
        <v>183</v>
      </c>
      <c r="M144" s="3">
        <v>127</v>
      </c>
      <c r="N144" s="3">
        <v>368</v>
      </c>
      <c r="O144" s="3">
        <v>363</v>
      </c>
      <c r="P144" s="3">
        <v>28</v>
      </c>
    </row>
    <row r="145" spans="2:16" s="5" customFormat="1" ht="10.5" customHeight="1">
      <c r="B145" s="7" t="s">
        <v>159</v>
      </c>
      <c r="C145" s="5">
        <f>C144/50195</f>
        <v>0.8970216156987748</v>
      </c>
      <c r="D145" s="5">
        <f>D144/50195</f>
        <v>0.028727960952286084</v>
      </c>
      <c r="E145" s="5">
        <f>E144/50195</f>
        <v>0.07425042334893914</v>
      </c>
      <c r="F145" s="5">
        <f>F144/35325</f>
        <v>0.13503184713375796</v>
      </c>
      <c r="G145" s="5">
        <f>G144/35325</f>
        <v>0.33596602972399153</v>
      </c>
      <c r="H145" s="5">
        <f>H144/35325</f>
        <v>0.5166595895258316</v>
      </c>
      <c r="I145" s="5">
        <f>I144/35325</f>
        <v>0.003170559094125973</v>
      </c>
      <c r="J145" s="5">
        <f>J144/35325</f>
        <v>0.009171974522292993</v>
      </c>
      <c r="K145" s="5">
        <f>K144/442</f>
        <v>0.2986425339366516</v>
      </c>
      <c r="L145" s="5">
        <f>L144/442</f>
        <v>0.41402714932126694</v>
      </c>
      <c r="M145" s="5">
        <f>M144/442</f>
        <v>0.2873303167420814</v>
      </c>
      <c r="N145" s="5">
        <f>N144/368</f>
        <v>1</v>
      </c>
      <c r="O145" s="5">
        <f>O144/363</f>
        <v>1</v>
      </c>
      <c r="P145" s="5">
        <f>P144/28</f>
        <v>1</v>
      </c>
    </row>
    <row r="146" spans="2:16" ht="10.5" customHeight="1"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0.5" customHeight="1">
      <c r="A147" s="4" t="s">
        <v>106</v>
      </c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0.5" customHeight="1">
      <c r="B148" s="6" t="s">
        <v>53</v>
      </c>
      <c r="C148" s="2">
        <v>33924</v>
      </c>
      <c r="D148" s="2">
        <v>1173</v>
      </c>
      <c r="E148" s="2">
        <v>4013</v>
      </c>
      <c r="F148" s="2">
        <v>3802</v>
      </c>
      <c r="G148" s="2">
        <v>6947</v>
      </c>
      <c r="H148" s="2">
        <v>11727</v>
      </c>
      <c r="I148" s="2">
        <v>104</v>
      </c>
      <c r="J148" s="2">
        <v>438</v>
      </c>
      <c r="K148" s="2">
        <v>141</v>
      </c>
      <c r="L148" s="2">
        <v>236</v>
      </c>
      <c r="M148" s="2">
        <v>196</v>
      </c>
      <c r="N148" s="2">
        <v>301</v>
      </c>
      <c r="O148" s="2">
        <v>361</v>
      </c>
      <c r="P148" s="2">
        <v>53</v>
      </c>
    </row>
    <row r="149" spans="1:16" ht="10.5" customHeight="1">
      <c r="A149" s="4" t="s">
        <v>76</v>
      </c>
      <c r="C149" s="3">
        <v>33924</v>
      </c>
      <c r="D149" s="3">
        <v>1173</v>
      </c>
      <c r="E149" s="3">
        <v>4013</v>
      </c>
      <c r="F149" s="3">
        <v>3802</v>
      </c>
      <c r="G149" s="3">
        <v>6947</v>
      </c>
      <c r="H149" s="3">
        <v>11727</v>
      </c>
      <c r="I149" s="3">
        <v>104</v>
      </c>
      <c r="J149" s="3">
        <v>438</v>
      </c>
      <c r="K149" s="3">
        <v>141</v>
      </c>
      <c r="L149" s="3">
        <v>236</v>
      </c>
      <c r="M149" s="3">
        <v>196</v>
      </c>
      <c r="N149" s="3">
        <v>301</v>
      </c>
      <c r="O149" s="3">
        <v>361</v>
      </c>
      <c r="P149" s="3">
        <v>53</v>
      </c>
    </row>
    <row r="150" spans="2:16" s="5" customFormat="1" ht="10.5" customHeight="1">
      <c r="B150" s="7" t="s">
        <v>159</v>
      </c>
      <c r="C150" s="5">
        <f>C149/39110</f>
        <v>0.8673996420352851</v>
      </c>
      <c r="D150" s="5">
        <f>D149/39110</f>
        <v>0.029992329327537714</v>
      </c>
      <c r="E150" s="5">
        <f>E149/39110</f>
        <v>0.10260802863717719</v>
      </c>
      <c r="F150" s="5">
        <f>F149/23018</f>
        <v>0.1651750803718829</v>
      </c>
      <c r="G150" s="5">
        <f>G149/23018</f>
        <v>0.3018072812581458</v>
      </c>
      <c r="H150" s="5">
        <f>H149/23018</f>
        <v>0.5094708489008603</v>
      </c>
      <c r="I150" s="5">
        <f>I149/23018</f>
        <v>0.0045182031453644975</v>
      </c>
      <c r="J150" s="5">
        <f>J149/23018</f>
        <v>0.019028586323746634</v>
      </c>
      <c r="K150" s="5">
        <f>K149/573</f>
        <v>0.24607329842931938</v>
      </c>
      <c r="L150" s="5">
        <f>L149/573</f>
        <v>0.4118673647469459</v>
      </c>
      <c r="M150" s="5">
        <f>M149/573</f>
        <v>0.34205933682373474</v>
      </c>
      <c r="N150" s="5">
        <f>N149/301</f>
        <v>1</v>
      </c>
      <c r="O150" s="5">
        <f>O149/361</f>
        <v>1</v>
      </c>
      <c r="P150" s="5">
        <f>P149/53</f>
        <v>1</v>
      </c>
    </row>
    <row r="151" spans="2:16" ht="10.5" customHeight="1"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0.5" customHeight="1">
      <c r="A152" s="4" t="s">
        <v>107</v>
      </c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0.5" customHeight="1">
      <c r="B153" s="6" t="s">
        <v>53</v>
      </c>
      <c r="C153" s="2">
        <v>24114</v>
      </c>
      <c r="D153" s="2">
        <v>947</v>
      </c>
      <c r="E153" s="2">
        <v>3483</v>
      </c>
      <c r="F153" s="2">
        <v>2975</v>
      </c>
      <c r="G153" s="2">
        <v>4349</v>
      </c>
      <c r="H153" s="2">
        <v>5822</v>
      </c>
      <c r="I153" s="2">
        <v>74</v>
      </c>
      <c r="J153" s="2">
        <v>259</v>
      </c>
      <c r="K153" s="2">
        <v>155</v>
      </c>
      <c r="L153" s="2">
        <v>151</v>
      </c>
      <c r="M153" s="2">
        <v>196</v>
      </c>
      <c r="N153" s="2">
        <v>160</v>
      </c>
      <c r="O153" s="2">
        <v>156</v>
      </c>
      <c r="P153" s="2">
        <v>76</v>
      </c>
    </row>
    <row r="154" spans="1:16" ht="10.5" customHeight="1">
      <c r="A154" s="4" t="s">
        <v>76</v>
      </c>
      <c r="C154" s="3">
        <v>24114</v>
      </c>
      <c r="D154" s="3">
        <v>947</v>
      </c>
      <c r="E154" s="3">
        <v>3483</v>
      </c>
      <c r="F154" s="3">
        <v>2975</v>
      </c>
      <c r="G154" s="3">
        <v>4349</v>
      </c>
      <c r="H154" s="3">
        <v>5822</v>
      </c>
      <c r="I154" s="3">
        <v>74</v>
      </c>
      <c r="J154" s="3">
        <v>259</v>
      </c>
      <c r="K154" s="3">
        <v>155</v>
      </c>
      <c r="L154" s="3">
        <v>151</v>
      </c>
      <c r="M154" s="3">
        <v>196</v>
      </c>
      <c r="N154" s="3">
        <v>160</v>
      </c>
      <c r="O154" s="3">
        <v>156</v>
      </c>
      <c r="P154" s="3">
        <v>76</v>
      </c>
    </row>
    <row r="155" spans="2:16" s="5" customFormat="1" ht="10.5" customHeight="1">
      <c r="B155" s="7" t="s">
        <v>159</v>
      </c>
      <c r="C155" s="5">
        <f>C154/28544</f>
        <v>0.8448010089686099</v>
      </c>
      <c r="D155" s="5">
        <f>D154/28544</f>
        <v>0.03317684977578475</v>
      </c>
      <c r="E155" s="5">
        <f>E154/28544</f>
        <v>0.12202214125560538</v>
      </c>
      <c r="F155" s="5">
        <f>F154/13479</f>
        <v>0.22071370279694338</v>
      </c>
      <c r="G155" s="5">
        <f>G154/13479</f>
        <v>0.32265004822316196</v>
      </c>
      <c r="H155" s="5">
        <f>H154/13479</f>
        <v>0.43193115216262334</v>
      </c>
      <c r="I155" s="5">
        <f>I154/13479</f>
        <v>0.00549002151494918</v>
      </c>
      <c r="J155" s="5">
        <f>J154/13479</f>
        <v>0.01921507530232213</v>
      </c>
      <c r="K155" s="5">
        <f>K154/502</f>
        <v>0.30876494023904383</v>
      </c>
      <c r="L155" s="5">
        <f>L154/502</f>
        <v>0.300796812749004</v>
      </c>
      <c r="M155" s="5">
        <f>M154/502</f>
        <v>0.3904382470119522</v>
      </c>
      <c r="N155" s="5">
        <f>N154/160</f>
        <v>1</v>
      </c>
      <c r="O155" s="5">
        <f>O154/156</f>
        <v>1</v>
      </c>
      <c r="P155" s="5">
        <f>P154/76</f>
        <v>1</v>
      </c>
    </row>
    <row r="156" spans="2:16" ht="10.5" customHeight="1"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0.5" customHeight="1">
      <c r="A157" s="4" t="s">
        <v>108</v>
      </c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0.5" customHeight="1">
      <c r="B158" s="6" t="s">
        <v>53</v>
      </c>
      <c r="C158" s="2">
        <v>38270</v>
      </c>
      <c r="D158" s="2">
        <v>1781</v>
      </c>
      <c r="E158" s="2">
        <v>5044</v>
      </c>
      <c r="F158" s="2">
        <v>5601</v>
      </c>
      <c r="G158" s="2">
        <v>10014</v>
      </c>
      <c r="H158" s="2">
        <v>15079</v>
      </c>
      <c r="I158" s="2">
        <v>134</v>
      </c>
      <c r="J158" s="2">
        <v>351</v>
      </c>
      <c r="K158" s="2">
        <v>241</v>
      </c>
      <c r="L158" s="2">
        <v>291</v>
      </c>
      <c r="M158" s="2">
        <v>211</v>
      </c>
      <c r="N158" s="2">
        <v>278</v>
      </c>
      <c r="O158" s="2">
        <v>320</v>
      </c>
      <c r="P158" s="2">
        <v>67</v>
      </c>
    </row>
    <row r="159" spans="1:16" ht="10.5" customHeight="1">
      <c r="A159" s="4" t="s">
        <v>76</v>
      </c>
      <c r="C159" s="3">
        <v>38270</v>
      </c>
      <c r="D159" s="3">
        <v>1781</v>
      </c>
      <c r="E159" s="3">
        <v>5044</v>
      </c>
      <c r="F159" s="3">
        <v>5601</v>
      </c>
      <c r="G159" s="3">
        <v>10014</v>
      </c>
      <c r="H159" s="3">
        <v>15079</v>
      </c>
      <c r="I159" s="3">
        <v>134</v>
      </c>
      <c r="J159" s="3">
        <v>351</v>
      </c>
      <c r="K159" s="3">
        <v>241</v>
      </c>
      <c r="L159" s="3">
        <v>291</v>
      </c>
      <c r="M159" s="3">
        <v>211</v>
      </c>
      <c r="N159" s="3">
        <v>278</v>
      </c>
      <c r="O159" s="3">
        <v>320</v>
      </c>
      <c r="P159" s="3">
        <v>67</v>
      </c>
    </row>
    <row r="160" spans="2:16" s="5" customFormat="1" ht="10.5" customHeight="1">
      <c r="B160" s="7" t="s">
        <v>159</v>
      </c>
      <c r="C160" s="5">
        <f>C159/45095</f>
        <v>0.8486528439960084</v>
      </c>
      <c r="D160" s="5">
        <f>D159/45095</f>
        <v>0.03949440070961304</v>
      </c>
      <c r="E160" s="5">
        <f>E159/45095</f>
        <v>0.11185275529437853</v>
      </c>
      <c r="F160" s="5">
        <f>F159/31179</f>
        <v>0.17964014240354084</v>
      </c>
      <c r="G160" s="5">
        <f>G159/31179</f>
        <v>0.32117771577022997</v>
      </c>
      <c r="H160" s="5">
        <f>H159/31179</f>
        <v>0.483626800089804</v>
      </c>
      <c r="I160" s="5">
        <f>I159/31179</f>
        <v>0.004297764520991693</v>
      </c>
      <c r="J160" s="5">
        <f>J159/31179</f>
        <v>0.011257577215433464</v>
      </c>
      <c r="K160" s="5">
        <f>K159/743</f>
        <v>0.3243606998654105</v>
      </c>
      <c r="L160" s="5">
        <f>L159/743</f>
        <v>0.3916554508748318</v>
      </c>
      <c r="M160" s="5">
        <f>M159/743</f>
        <v>0.2839838492597577</v>
      </c>
      <c r="N160" s="5">
        <f>N159/278</f>
        <v>1</v>
      </c>
      <c r="O160" s="5">
        <f>O159/320</f>
        <v>1</v>
      </c>
      <c r="P160" s="5">
        <f>P159/67</f>
        <v>1</v>
      </c>
    </row>
    <row r="161" spans="2:16" ht="10.5" customHeight="1"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0.5" customHeight="1">
      <c r="A162" s="4" t="s">
        <v>109</v>
      </c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0.5" customHeight="1">
      <c r="B163" s="6" t="s">
        <v>54</v>
      </c>
      <c r="C163" s="2">
        <v>3228</v>
      </c>
      <c r="D163" s="2">
        <v>337</v>
      </c>
      <c r="E163" s="2">
        <v>1180</v>
      </c>
      <c r="F163" s="2">
        <v>1067</v>
      </c>
      <c r="G163" s="2">
        <v>4818</v>
      </c>
      <c r="H163" s="2">
        <v>1253</v>
      </c>
      <c r="I163" s="2">
        <v>66</v>
      </c>
      <c r="J163" s="2">
        <v>116</v>
      </c>
      <c r="K163" s="2">
        <v>72</v>
      </c>
      <c r="L163" s="2">
        <v>83</v>
      </c>
      <c r="M163" s="2">
        <v>39</v>
      </c>
      <c r="N163" s="2">
        <v>70</v>
      </c>
      <c r="O163" s="2">
        <v>106</v>
      </c>
      <c r="P163" s="2">
        <v>11</v>
      </c>
    </row>
    <row r="164" spans="2:16" ht="10.5" customHeight="1">
      <c r="B164" s="6" t="s">
        <v>55</v>
      </c>
      <c r="C164" s="2">
        <v>2662</v>
      </c>
      <c r="D164" s="2">
        <v>311</v>
      </c>
      <c r="E164" s="2">
        <v>1108</v>
      </c>
      <c r="F164" s="2">
        <v>1487</v>
      </c>
      <c r="G164" s="2">
        <v>5509</v>
      </c>
      <c r="H164" s="2">
        <v>1554</v>
      </c>
      <c r="I164" s="2">
        <v>79</v>
      </c>
      <c r="J164" s="2">
        <v>113</v>
      </c>
      <c r="K164" s="2">
        <v>65</v>
      </c>
      <c r="L164" s="2">
        <v>80</v>
      </c>
      <c r="M164" s="2">
        <v>46</v>
      </c>
      <c r="N164" s="2">
        <v>43</v>
      </c>
      <c r="O164" s="2">
        <v>46</v>
      </c>
      <c r="P164" s="2">
        <v>10</v>
      </c>
    </row>
    <row r="165" spans="2:16" ht="10.5" customHeight="1">
      <c r="B165" s="6" t="s">
        <v>56</v>
      </c>
      <c r="C165" s="2">
        <v>1470</v>
      </c>
      <c r="D165" s="2">
        <v>101</v>
      </c>
      <c r="E165" s="2">
        <v>409</v>
      </c>
      <c r="F165" s="2">
        <v>557</v>
      </c>
      <c r="G165" s="2">
        <v>2202</v>
      </c>
      <c r="H165" s="2">
        <v>549</v>
      </c>
      <c r="I165" s="2">
        <v>36</v>
      </c>
      <c r="J165" s="2">
        <v>46</v>
      </c>
      <c r="K165" s="2">
        <v>29</v>
      </c>
      <c r="L165" s="2">
        <v>44</v>
      </c>
      <c r="M165" s="2">
        <v>19</v>
      </c>
      <c r="N165" s="2">
        <v>37</v>
      </c>
      <c r="O165" s="2">
        <v>32</v>
      </c>
      <c r="P165" s="2">
        <v>0</v>
      </c>
    </row>
    <row r="166" spans="2:16" ht="10.5" customHeight="1">
      <c r="B166" s="6" t="s">
        <v>57</v>
      </c>
      <c r="C166" s="2">
        <v>980</v>
      </c>
      <c r="D166" s="2">
        <v>57</v>
      </c>
      <c r="E166" s="2">
        <v>171</v>
      </c>
      <c r="F166" s="2">
        <v>395</v>
      </c>
      <c r="G166" s="2">
        <v>664</v>
      </c>
      <c r="H166" s="2">
        <v>306</v>
      </c>
      <c r="I166" s="2">
        <v>21</v>
      </c>
      <c r="J166" s="2">
        <v>50</v>
      </c>
      <c r="K166" s="2">
        <v>18</v>
      </c>
      <c r="L166" s="2">
        <v>30</v>
      </c>
      <c r="M166" s="2">
        <v>7</v>
      </c>
      <c r="N166" s="2">
        <v>19</v>
      </c>
      <c r="O166" s="2">
        <v>15</v>
      </c>
      <c r="P166" s="2">
        <v>5</v>
      </c>
    </row>
    <row r="167" spans="2:16" ht="10.5" customHeight="1">
      <c r="B167" s="6" t="s">
        <v>52</v>
      </c>
      <c r="C167" s="2">
        <v>11428</v>
      </c>
      <c r="D167" s="2">
        <v>981</v>
      </c>
      <c r="E167" s="2">
        <v>4292</v>
      </c>
      <c r="F167" s="2">
        <v>4009</v>
      </c>
      <c r="G167" s="2">
        <v>13717</v>
      </c>
      <c r="H167" s="2">
        <v>4137</v>
      </c>
      <c r="I167" s="2">
        <v>156</v>
      </c>
      <c r="J167" s="2">
        <v>379</v>
      </c>
      <c r="K167" s="2">
        <v>115</v>
      </c>
      <c r="L167" s="2">
        <v>141</v>
      </c>
      <c r="M167" s="2">
        <v>95</v>
      </c>
      <c r="N167" s="2">
        <v>48</v>
      </c>
      <c r="O167" s="2">
        <v>110</v>
      </c>
      <c r="P167" s="2">
        <v>19</v>
      </c>
    </row>
    <row r="168" spans="2:16" ht="10.5" customHeight="1">
      <c r="B168" s="6" t="s">
        <v>58</v>
      </c>
      <c r="C168" s="2">
        <v>3788</v>
      </c>
      <c r="D168" s="2">
        <v>297</v>
      </c>
      <c r="E168" s="2">
        <v>1311</v>
      </c>
      <c r="F168" s="2">
        <v>1334</v>
      </c>
      <c r="G168" s="2">
        <v>5394</v>
      </c>
      <c r="H168" s="2">
        <v>1385</v>
      </c>
      <c r="I168" s="2">
        <v>72</v>
      </c>
      <c r="J168" s="2">
        <v>121</v>
      </c>
      <c r="K168" s="2">
        <v>76</v>
      </c>
      <c r="L168" s="2">
        <v>82</v>
      </c>
      <c r="M168" s="2">
        <v>43</v>
      </c>
      <c r="N168" s="2">
        <v>55</v>
      </c>
      <c r="O168" s="2">
        <v>84</v>
      </c>
      <c r="P168" s="2">
        <v>10</v>
      </c>
    </row>
    <row r="169" spans="1:16" ht="10.5" customHeight="1">
      <c r="A169" s="4" t="s">
        <v>76</v>
      </c>
      <c r="C169" s="3">
        <v>23556</v>
      </c>
      <c r="D169" s="3">
        <v>2084</v>
      </c>
      <c r="E169" s="3">
        <v>8471</v>
      </c>
      <c r="F169" s="3">
        <v>8849</v>
      </c>
      <c r="G169" s="3">
        <v>32304</v>
      </c>
      <c r="H169" s="3">
        <v>9184</v>
      </c>
      <c r="I169" s="3">
        <v>430</v>
      </c>
      <c r="J169" s="3">
        <v>825</v>
      </c>
      <c r="K169" s="3">
        <v>375</v>
      </c>
      <c r="L169" s="3">
        <v>460</v>
      </c>
      <c r="M169" s="3">
        <v>249</v>
      </c>
      <c r="N169" s="3">
        <v>272</v>
      </c>
      <c r="O169" s="3">
        <v>393</v>
      </c>
      <c r="P169" s="3">
        <v>55</v>
      </c>
    </row>
    <row r="170" spans="2:16" s="5" customFormat="1" ht="10.5" customHeight="1">
      <c r="B170" s="7" t="s">
        <v>159</v>
      </c>
      <c r="C170" s="5">
        <f>C169/34111</f>
        <v>0.6905690246548034</v>
      </c>
      <c r="D170" s="5">
        <f>D169/34111</f>
        <v>0.06109466154612882</v>
      </c>
      <c r="E170" s="5">
        <f>E169/34111</f>
        <v>0.24833631379906776</v>
      </c>
      <c r="F170" s="5">
        <f>F169/51592</f>
        <v>0.17151884013025276</v>
      </c>
      <c r="G170" s="5">
        <f>G169/51592</f>
        <v>0.626143588153202</v>
      </c>
      <c r="H170" s="5">
        <f>H169/51592</f>
        <v>0.17801209489843386</v>
      </c>
      <c r="I170" s="5">
        <f>I169/51592</f>
        <v>0.008334625523336952</v>
      </c>
      <c r="J170" s="5">
        <f>J169/51592</f>
        <v>0.015990851294774382</v>
      </c>
      <c r="K170" s="5">
        <f>K169/1084</f>
        <v>0.3459409594095941</v>
      </c>
      <c r="L170" s="5">
        <f>L169/1084</f>
        <v>0.42435424354243545</v>
      </c>
      <c r="M170" s="5">
        <f>M169/1084</f>
        <v>0.22970479704797048</v>
      </c>
      <c r="N170" s="5">
        <f>N169/272</f>
        <v>1</v>
      </c>
      <c r="O170" s="5">
        <f>O169/393</f>
        <v>1</v>
      </c>
      <c r="P170" s="5">
        <f>P169/55</f>
        <v>1</v>
      </c>
    </row>
    <row r="171" spans="2:16" ht="10.5" customHeight="1"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0.5" customHeight="1">
      <c r="A172" s="4" t="s">
        <v>110</v>
      </c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0.5" customHeight="1">
      <c r="B173" s="6" t="s">
        <v>46</v>
      </c>
      <c r="C173" s="2">
        <v>10368</v>
      </c>
      <c r="D173" s="2">
        <v>1101</v>
      </c>
      <c r="E173" s="2">
        <v>3578</v>
      </c>
      <c r="F173" s="2">
        <v>3380</v>
      </c>
      <c r="G173" s="2">
        <v>13102</v>
      </c>
      <c r="H173" s="2">
        <v>3732</v>
      </c>
      <c r="I173" s="2">
        <v>159</v>
      </c>
      <c r="J173" s="2">
        <v>465</v>
      </c>
      <c r="K173" s="2">
        <v>159</v>
      </c>
      <c r="L173" s="2">
        <v>167</v>
      </c>
      <c r="M173" s="2">
        <v>102</v>
      </c>
      <c r="N173" s="2">
        <v>60</v>
      </c>
      <c r="O173" s="2">
        <v>83</v>
      </c>
      <c r="P173" s="2">
        <v>22</v>
      </c>
    </row>
    <row r="174" spans="2:16" ht="10.5" customHeight="1">
      <c r="B174" s="6" t="s">
        <v>52</v>
      </c>
      <c r="C174" s="2">
        <v>6457</v>
      </c>
      <c r="D174" s="2">
        <v>640</v>
      </c>
      <c r="E174" s="2">
        <v>2479</v>
      </c>
      <c r="F174" s="2">
        <v>1797</v>
      </c>
      <c r="G174" s="2">
        <v>7087</v>
      </c>
      <c r="H174" s="2">
        <v>1771</v>
      </c>
      <c r="I174" s="2">
        <v>91</v>
      </c>
      <c r="J174" s="2">
        <v>235</v>
      </c>
      <c r="K174" s="2">
        <v>64</v>
      </c>
      <c r="L174" s="2">
        <v>63</v>
      </c>
      <c r="M174" s="2">
        <v>45</v>
      </c>
      <c r="N174" s="2">
        <v>47</v>
      </c>
      <c r="O174" s="2">
        <v>57</v>
      </c>
      <c r="P174" s="2">
        <v>13</v>
      </c>
    </row>
    <row r="175" spans="1:16" ht="10.5" customHeight="1">
      <c r="A175" s="4" t="s">
        <v>76</v>
      </c>
      <c r="C175" s="3">
        <v>16825</v>
      </c>
      <c r="D175" s="3">
        <v>1741</v>
      </c>
      <c r="E175" s="3">
        <v>6057</v>
      </c>
      <c r="F175" s="3">
        <v>5177</v>
      </c>
      <c r="G175" s="3">
        <v>20189</v>
      </c>
      <c r="H175" s="3">
        <v>5503</v>
      </c>
      <c r="I175" s="3">
        <v>250</v>
      </c>
      <c r="J175" s="3">
        <v>700</v>
      </c>
      <c r="K175" s="3">
        <v>223</v>
      </c>
      <c r="L175" s="3">
        <v>230</v>
      </c>
      <c r="M175" s="3">
        <v>147</v>
      </c>
      <c r="N175" s="3">
        <v>107</v>
      </c>
      <c r="O175" s="3">
        <v>140</v>
      </c>
      <c r="P175" s="3">
        <v>35</v>
      </c>
    </row>
    <row r="176" spans="2:16" s="5" customFormat="1" ht="10.5" customHeight="1">
      <c r="B176" s="7" t="s">
        <v>159</v>
      </c>
      <c r="C176" s="5">
        <f>C175/24623</f>
        <v>0.6833042277545385</v>
      </c>
      <c r="D176" s="5">
        <f>D175/24623</f>
        <v>0.07070625025382772</v>
      </c>
      <c r="E176" s="5">
        <f>E175/24623</f>
        <v>0.24598952199163385</v>
      </c>
      <c r="F176" s="5">
        <f>F175/31819</f>
        <v>0.16270153053207204</v>
      </c>
      <c r="G176" s="5">
        <f>G175/31819</f>
        <v>0.634495112982809</v>
      </c>
      <c r="H176" s="5">
        <f>H175/31819</f>
        <v>0.17294698136333636</v>
      </c>
      <c r="I176" s="5">
        <f>I175/31819</f>
        <v>0.007856940821521732</v>
      </c>
      <c r="J176" s="5">
        <f>J175/31819</f>
        <v>0.02199943430026085</v>
      </c>
      <c r="K176" s="5">
        <f>K175/600</f>
        <v>0.37166666666666665</v>
      </c>
      <c r="L176" s="5">
        <f>L175/600</f>
        <v>0.38333333333333336</v>
      </c>
      <c r="M176" s="5">
        <f>M175/600</f>
        <v>0.245</v>
      </c>
      <c r="N176" s="5">
        <f>N175/107</f>
        <v>1</v>
      </c>
      <c r="O176" s="5">
        <f>O175/140</f>
        <v>1</v>
      </c>
      <c r="P176" s="5">
        <f>P175/35</f>
        <v>1</v>
      </c>
    </row>
    <row r="177" spans="2:16" ht="10.5" customHeight="1"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0.5" customHeight="1">
      <c r="A178" s="4" t="s">
        <v>111</v>
      </c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0.5" customHeight="1">
      <c r="B179" s="6" t="s">
        <v>59</v>
      </c>
      <c r="C179" s="2">
        <v>15283</v>
      </c>
      <c r="D179" s="2">
        <v>793</v>
      </c>
      <c r="E179" s="2">
        <v>1640</v>
      </c>
      <c r="F179" s="2">
        <v>1761</v>
      </c>
      <c r="G179" s="2">
        <v>5935</v>
      </c>
      <c r="H179" s="2">
        <v>5107</v>
      </c>
      <c r="I179" s="2">
        <v>123</v>
      </c>
      <c r="J179" s="2">
        <v>220</v>
      </c>
      <c r="K179" s="2">
        <v>105</v>
      </c>
      <c r="L179" s="2">
        <v>125</v>
      </c>
      <c r="M179" s="2">
        <v>58</v>
      </c>
      <c r="N179" s="2">
        <v>177</v>
      </c>
      <c r="O179" s="2">
        <v>115</v>
      </c>
      <c r="P179" s="2">
        <v>17</v>
      </c>
    </row>
    <row r="180" spans="2:16" ht="10.5" customHeight="1">
      <c r="B180" s="6" t="s">
        <v>53</v>
      </c>
      <c r="C180" s="2">
        <v>3678</v>
      </c>
      <c r="D180" s="2">
        <v>230</v>
      </c>
      <c r="E180" s="2">
        <v>681</v>
      </c>
      <c r="F180" s="2">
        <v>1251</v>
      </c>
      <c r="G180" s="2">
        <v>1829</v>
      </c>
      <c r="H180" s="2">
        <v>2006</v>
      </c>
      <c r="I180" s="2">
        <v>15</v>
      </c>
      <c r="J180" s="2">
        <v>95</v>
      </c>
      <c r="K180" s="2">
        <v>31</v>
      </c>
      <c r="L180" s="2">
        <v>55</v>
      </c>
      <c r="M180" s="2">
        <v>34</v>
      </c>
      <c r="N180" s="2">
        <v>24</v>
      </c>
      <c r="O180" s="2">
        <v>39</v>
      </c>
      <c r="P180" s="2">
        <v>7</v>
      </c>
    </row>
    <row r="181" spans="2:16" ht="10.5" customHeight="1">
      <c r="B181" s="6" t="s">
        <v>60</v>
      </c>
      <c r="C181" s="2">
        <v>24506</v>
      </c>
      <c r="D181" s="2">
        <v>849</v>
      </c>
      <c r="E181" s="2">
        <v>2350</v>
      </c>
      <c r="F181" s="2">
        <v>1711</v>
      </c>
      <c r="G181" s="2">
        <v>5354</v>
      </c>
      <c r="H181" s="2">
        <v>5699</v>
      </c>
      <c r="I181" s="2">
        <v>100</v>
      </c>
      <c r="J181" s="2">
        <v>207</v>
      </c>
      <c r="K181" s="2">
        <v>93</v>
      </c>
      <c r="L181" s="2">
        <v>119</v>
      </c>
      <c r="M181" s="2">
        <v>84</v>
      </c>
      <c r="N181" s="2">
        <v>535</v>
      </c>
      <c r="O181" s="2">
        <v>273</v>
      </c>
      <c r="P181" s="2">
        <v>70</v>
      </c>
    </row>
    <row r="182" spans="1:16" ht="10.5" customHeight="1">
      <c r="A182" s="4" t="s">
        <v>76</v>
      </c>
      <c r="C182" s="3">
        <v>43467</v>
      </c>
      <c r="D182" s="3">
        <v>1872</v>
      </c>
      <c r="E182" s="3">
        <v>4671</v>
      </c>
      <c r="F182" s="3">
        <v>4723</v>
      </c>
      <c r="G182" s="3">
        <v>13118</v>
      </c>
      <c r="H182" s="3">
        <v>12812</v>
      </c>
      <c r="I182" s="3">
        <v>238</v>
      </c>
      <c r="J182" s="3">
        <v>522</v>
      </c>
      <c r="K182" s="3">
        <v>229</v>
      </c>
      <c r="L182" s="3">
        <v>299</v>
      </c>
      <c r="M182" s="3">
        <v>176</v>
      </c>
      <c r="N182" s="3">
        <v>736</v>
      </c>
      <c r="O182" s="3">
        <v>427</v>
      </c>
      <c r="P182" s="3">
        <v>94</v>
      </c>
    </row>
    <row r="183" spans="2:16" s="5" customFormat="1" ht="10.5" customHeight="1">
      <c r="B183" s="7" t="s">
        <v>159</v>
      </c>
      <c r="C183" s="5">
        <f>C182/50010</f>
        <v>0.8691661667666467</v>
      </c>
      <c r="D183" s="5">
        <f>D182/50010</f>
        <v>0.03743251349730054</v>
      </c>
      <c r="E183" s="5">
        <f>E182/50010</f>
        <v>0.09340131973605278</v>
      </c>
      <c r="F183" s="5">
        <f>F182/31413</f>
        <v>0.1503517651927546</v>
      </c>
      <c r="G183" s="5">
        <f>G182/31413</f>
        <v>0.4175978098239582</v>
      </c>
      <c r="H183" s="5">
        <f>H182/31413</f>
        <v>0.40785661987075417</v>
      </c>
      <c r="I183" s="5">
        <f>I182/31413</f>
        <v>0.007576481074714291</v>
      </c>
      <c r="J183" s="5">
        <f>J182/31413</f>
        <v>0.016617324037818737</v>
      </c>
      <c r="K183" s="5">
        <f>K182/704</f>
        <v>0.3252840909090909</v>
      </c>
      <c r="L183" s="5">
        <f>L182/704</f>
        <v>0.4247159090909091</v>
      </c>
      <c r="M183" s="5">
        <f>M182/704</f>
        <v>0.25</v>
      </c>
      <c r="N183" s="5">
        <f>N182/736</f>
        <v>1</v>
      </c>
      <c r="O183" s="5">
        <f>O182/427</f>
        <v>1</v>
      </c>
      <c r="P183" s="5">
        <f>P182/94</f>
        <v>1</v>
      </c>
    </row>
    <row r="184" spans="2:16" ht="10.5" customHeight="1"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0.5" customHeight="1">
      <c r="A185" s="4" t="s">
        <v>112</v>
      </c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0.5" customHeight="1">
      <c r="B186" s="6" t="s">
        <v>59</v>
      </c>
      <c r="C186" s="2">
        <v>10759</v>
      </c>
      <c r="D186" s="2">
        <v>680</v>
      </c>
      <c r="E186" s="2">
        <v>2244</v>
      </c>
      <c r="F186" s="2">
        <v>1449</v>
      </c>
      <c r="G186" s="2">
        <v>2962</v>
      </c>
      <c r="H186" s="2">
        <v>3053</v>
      </c>
      <c r="I186" s="2">
        <v>92</v>
      </c>
      <c r="J186" s="2">
        <v>216</v>
      </c>
      <c r="K186" s="2">
        <v>65</v>
      </c>
      <c r="L186" s="2">
        <v>78</v>
      </c>
      <c r="M186" s="2">
        <v>53</v>
      </c>
      <c r="N186" s="2">
        <v>54</v>
      </c>
      <c r="O186" s="2">
        <v>54</v>
      </c>
      <c r="P186" s="2">
        <v>13</v>
      </c>
    </row>
    <row r="187" spans="2:16" ht="10.5" customHeight="1">
      <c r="B187" s="6" t="s">
        <v>61</v>
      </c>
      <c r="C187" s="2">
        <v>3916</v>
      </c>
      <c r="D187" s="2">
        <v>218</v>
      </c>
      <c r="E187" s="2">
        <v>930</v>
      </c>
      <c r="F187" s="2">
        <v>913</v>
      </c>
      <c r="G187" s="2">
        <v>1715</v>
      </c>
      <c r="H187" s="2">
        <v>1452</v>
      </c>
      <c r="I187" s="2">
        <v>28</v>
      </c>
      <c r="J187" s="2">
        <v>87</v>
      </c>
      <c r="K187" s="2">
        <v>30</v>
      </c>
      <c r="L187" s="2">
        <v>48</v>
      </c>
      <c r="M187" s="2">
        <v>26</v>
      </c>
      <c r="N187" s="2">
        <v>27</v>
      </c>
      <c r="O187" s="2">
        <v>21</v>
      </c>
      <c r="P187" s="2">
        <v>5</v>
      </c>
    </row>
    <row r="188" spans="2:16" ht="10.5" customHeight="1">
      <c r="B188" s="6" t="s">
        <v>53</v>
      </c>
      <c r="C188" s="2">
        <v>5960</v>
      </c>
      <c r="D188" s="2">
        <v>281</v>
      </c>
      <c r="E188" s="2">
        <v>922</v>
      </c>
      <c r="F188" s="2">
        <v>1122</v>
      </c>
      <c r="G188" s="2">
        <v>1718</v>
      </c>
      <c r="H188" s="2">
        <v>1915</v>
      </c>
      <c r="I188" s="2">
        <v>14</v>
      </c>
      <c r="J188" s="2">
        <v>94</v>
      </c>
      <c r="K188" s="2">
        <v>35</v>
      </c>
      <c r="L188" s="2">
        <v>38</v>
      </c>
      <c r="M188" s="2">
        <v>39</v>
      </c>
      <c r="N188" s="2">
        <v>14</v>
      </c>
      <c r="O188" s="2">
        <v>46</v>
      </c>
      <c r="P188" s="2">
        <v>15</v>
      </c>
    </row>
    <row r="189" spans="2:16" ht="10.5" customHeight="1">
      <c r="B189" s="6" t="s">
        <v>60</v>
      </c>
      <c r="C189" s="2">
        <v>3489</v>
      </c>
      <c r="D189" s="2">
        <v>164</v>
      </c>
      <c r="E189" s="2">
        <v>600</v>
      </c>
      <c r="F189" s="2">
        <v>233</v>
      </c>
      <c r="G189" s="2">
        <v>642</v>
      </c>
      <c r="H189" s="2">
        <v>632</v>
      </c>
      <c r="I189" s="2">
        <v>17</v>
      </c>
      <c r="J189" s="2">
        <v>36</v>
      </c>
      <c r="K189" s="2">
        <v>15</v>
      </c>
      <c r="L189" s="2">
        <v>23</v>
      </c>
      <c r="M189" s="2">
        <v>8</v>
      </c>
      <c r="N189" s="2">
        <v>30</v>
      </c>
      <c r="O189" s="2">
        <v>13</v>
      </c>
      <c r="P189" s="2">
        <v>7</v>
      </c>
    </row>
    <row r="190" spans="1:16" ht="10.5" customHeight="1">
      <c r="A190" s="4" t="s">
        <v>76</v>
      </c>
      <c r="C190" s="3">
        <v>24124</v>
      </c>
      <c r="D190" s="3">
        <v>1343</v>
      </c>
      <c r="E190" s="3">
        <v>4696</v>
      </c>
      <c r="F190" s="3">
        <v>3717</v>
      </c>
      <c r="G190" s="3">
        <v>7037</v>
      </c>
      <c r="H190" s="3">
        <v>7052</v>
      </c>
      <c r="I190" s="3">
        <v>151</v>
      </c>
      <c r="J190" s="3">
        <v>433</v>
      </c>
      <c r="K190" s="3">
        <v>145</v>
      </c>
      <c r="L190" s="3">
        <v>187</v>
      </c>
      <c r="M190" s="3">
        <v>126</v>
      </c>
      <c r="N190" s="3">
        <v>125</v>
      </c>
      <c r="O190" s="3">
        <v>134</v>
      </c>
      <c r="P190" s="3">
        <v>40</v>
      </c>
    </row>
    <row r="191" spans="2:16" s="5" customFormat="1" ht="10.5" customHeight="1">
      <c r="B191" s="7" t="s">
        <v>159</v>
      </c>
      <c r="C191" s="5">
        <f>C190/30163</f>
        <v>0.799787819513974</v>
      </c>
      <c r="D191" s="5">
        <f>D190/30163</f>
        <v>0.04452474886450287</v>
      </c>
      <c r="E191" s="5">
        <f>E190/30163</f>
        <v>0.15568743162152307</v>
      </c>
      <c r="F191" s="5">
        <f>F190/18390</f>
        <v>0.20212071778140295</v>
      </c>
      <c r="G191" s="5">
        <f>G190/18390</f>
        <v>0.3826536160957042</v>
      </c>
      <c r="H191" s="5">
        <f>H190/18390</f>
        <v>0.3834692767808592</v>
      </c>
      <c r="I191" s="5">
        <f>I190/18390</f>
        <v>0.008210984230560088</v>
      </c>
      <c r="J191" s="5">
        <f>J190/18390</f>
        <v>0.023545405111473627</v>
      </c>
      <c r="K191" s="5">
        <f>K190/458</f>
        <v>0.3165938864628821</v>
      </c>
      <c r="L191" s="5">
        <f>L190/458</f>
        <v>0.40829694323144106</v>
      </c>
      <c r="M191" s="5">
        <f>M190/458</f>
        <v>0.27510917030567683</v>
      </c>
      <c r="N191" s="5">
        <f>N190/125</f>
        <v>1</v>
      </c>
      <c r="O191" s="5">
        <f>O190/134</f>
        <v>1</v>
      </c>
      <c r="P191" s="5">
        <f>P190/40</f>
        <v>1</v>
      </c>
    </row>
    <row r="192" spans="2:16" ht="10.5" customHeight="1"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0.5" customHeight="1">
      <c r="A193" s="4" t="s">
        <v>113</v>
      </c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0.5" customHeight="1">
      <c r="B194" s="6" t="s">
        <v>62</v>
      </c>
      <c r="C194" s="2">
        <v>16822</v>
      </c>
      <c r="D194" s="2">
        <v>1376</v>
      </c>
      <c r="E194" s="2">
        <v>5039</v>
      </c>
      <c r="F194" s="2">
        <v>6109</v>
      </c>
      <c r="G194" s="2">
        <v>30033</v>
      </c>
      <c r="H194" s="2">
        <v>8244</v>
      </c>
      <c r="I194" s="2">
        <v>634</v>
      </c>
      <c r="J194" s="2">
        <v>510</v>
      </c>
      <c r="K194" s="2">
        <v>163</v>
      </c>
      <c r="L194" s="2">
        <v>184</v>
      </c>
      <c r="M194" s="2">
        <v>133</v>
      </c>
      <c r="N194" s="2">
        <v>111</v>
      </c>
      <c r="O194" s="2">
        <v>173</v>
      </c>
      <c r="P194" s="2">
        <v>22</v>
      </c>
    </row>
    <row r="195" spans="2:16" ht="10.5" customHeight="1">
      <c r="B195" s="6" t="s">
        <v>55</v>
      </c>
      <c r="C195" s="2">
        <v>2130</v>
      </c>
      <c r="D195" s="2">
        <v>187</v>
      </c>
      <c r="E195" s="2">
        <v>905</v>
      </c>
      <c r="F195" s="2">
        <v>836</v>
      </c>
      <c r="G195" s="2">
        <v>2952</v>
      </c>
      <c r="H195" s="2">
        <v>904</v>
      </c>
      <c r="I195" s="2">
        <v>52</v>
      </c>
      <c r="J195" s="2">
        <v>92</v>
      </c>
      <c r="K195" s="2">
        <v>35</v>
      </c>
      <c r="L195" s="2">
        <v>36</v>
      </c>
      <c r="M195" s="2">
        <v>24</v>
      </c>
      <c r="N195" s="2">
        <v>11</v>
      </c>
      <c r="O195" s="2">
        <v>13</v>
      </c>
      <c r="P195" s="2">
        <v>6</v>
      </c>
    </row>
    <row r="196" spans="2:16" ht="10.5" customHeight="1">
      <c r="B196" s="6" t="s">
        <v>63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</row>
    <row r="197" spans="1:16" ht="10.5" customHeight="1">
      <c r="A197" s="4" t="s">
        <v>76</v>
      </c>
      <c r="C197" s="3">
        <v>18952</v>
      </c>
      <c r="D197" s="3">
        <v>1563</v>
      </c>
      <c r="E197" s="3">
        <v>5944</v>
      </c>
      <c r="F197" s="3">
        <v>6945</v>
      </c>
      <c r="G197" s="3">
        <v>32985</v>
      </c>
      <c r="H197" s="3">
        <v>9148</v>
      </c>
      <c r="I197" s="3">
        <v>686</v>
      </c>
      <c r="J197" s="3">
        <v>602</v>
      </c>
      <c r="K197" s="3">
        <v>198</v>
      </c>
      <c r="L197" s="3">
        <v>220</v>
      </c>
      <c r="M197" s="3">
        <v>157</v>
      </c>
      <c r="N197" s="3">
        <v>122</v>
      </c>
      <c r="O197" s="3">
        <v>186</v>
      </c>
      <c r="P197" s="3">
        <v>28</v>
      </c>
    </row>
    <row r="198" spans="2:16" s="5" customFormat="1" ht="10.5" customHeight="1">
      <c r="B198" s="7" t="s">
        <v>159</v>
      </c>
      <c r="C198" s="5">
        <f>C197/26459</f>
        <v>0.7162780150421407</v>
      </c>
      <c r="D198" s="5">
        <f>D197/26459</f>
        <v>0.05907252730639858</v>
      </c>
      <c r="E198" s="5">
        <f>E197/26459</f>
        <v>0.22464945765146074</v>
      </c>
      <c r="F198" s="5">
        <f>F197/50366</f>
        <v>0.13789064051145614</v>
      </c>
      <c r="G198" s="5">
        <f>G197/50366</f>
        <v>0.6549060874399396</v>
      </c>
      <c r="H198" s="5">
        <f>H197/50366</f>
        <v>0.18163046499622762</v>
      </c>
      <c r="I198" s="5">
        <f>I197/50366</f>
        <v>0.013620299408331017</v>
      </c>
      <c r="J198" s="5">
        <f>J197/50366</f>
        <v>0.011952507644045587</v>
      </c>
      <c r="K198" s="5">
        <f>K197/575</f>
        <v>0.3443478260869565</v>
      </c>
      <c r="L198" s="5">
        <f>L197/575</f>
        <v>0.3826086956521739</v>
      </c>
      <c r="M198" s="5">
        <f>M197/575</f>
        <v>0.27304347826086955</v>
      </c>
      <c r="N198" s="5">
        <f>N197/122</f>
        <v>1</v>
      </c>
      <c r="O198" s="5">
        <f>O197/186</f>
        <v>1</v>
      </c>
      <c r="P198" s="5">
        <f>P197/28</f>
        <v>1</v>
      </c>
    </row>
    <row r="199" spans="2:16" ht="10.5" customHeight="1"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0.5" customHeight="1">
      <c r="A200" s="4" t="s">
        <v>114</v>
      </c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0.5" customHeight="1">
      <c r="B201" s="6" t="s">
        <v>62</v>
      </c>
      <c r="C201" s="2">
        <v>994</v>
      </c>
      <c r="D201" s="2">
        <v>163</v>
      </c>
      <c r="E201" s="2">
        <v>513</v>
      </c>
      <c r="F201" s="2">
        <v>458</v>
      </c>
      <c r="G201" s="2">
        <v>1971</v>
      </c>
      <c r="H201" s="2">
        <v>554</v>
      </c>
      <c r="I201" s="2">
        <v>36</v>
      </c>
      <c r="J201" s="2">
        <v>54</v>
      </c>
      <c r="K201" s="2">
        <v>16</v>
      </c>
      <c r="L201" s="2">
        <v>25</v>
      </c>
      <c r="M201" s="2">
        <v>11</v>
      </c>
      <c r="N201" s="2">
        <v>8</v>
      </c>
      <c r="O201" s="2">
        <v>19</v>
      </c>
      <c r="P201" s="2">
        <v>7</v>
      </c>
    </row>
    <row r="202" spans="2:16" ht="10.5" customHeight="1">
      <c r="B202" s="6" t="s">
        <v>64</v>
      </c>
      <c r="C202" s="2">
        <v>4543</v>
      </c>
      <c r="D202" s="2">
        <v>334</v>
      </c>
      <c r="E202" s="2">
        <v>1504</v>
      </c>
      <c r="F202" s="2">
        <v>762</v>
      </c>
      <c r="G202" s="2">
        <v>1840</v>
      </c>
      <c r="H202" s="2">
        <v>675</v>
      </c>
      <c r="I202" s="2">
        <v>52</v>
      </c>
      <c r="J202" s="2">
        <v>192</v>
      </c>
      <c r="K202" s="2">
        <v>24</v>
      </c>
      <c r="L202" s="2">
        <v>35</v>
      </c>
      <c r="M202" s="2">
        <v>26</v>
      </c>
      <c r="N202" s="2">
        <v>5</v>
      </c>
      <c r="O202" s="2">
        <v>15</v>
      </c>
      <c r="P202" s="2">
        <v>7</v>
      </c>
    </row>
    <row r="203" spans="2:16" ht="10.5" customHeight="1">
      <c r="B203" s="6" t="s">
        <v>65</v>
      </c>
      <c r="C203" s="2">
        <v>3529</v>
      </c>
      <c r="D203" s="2">
        <v>539</v>
      </c>
      <c r="E203" s="2">
        <v>1495</v>
      </c>
      <c r="F203" s="2">
        <v>1792</v>
      </c>
      <c r="G203" s="2">
        <v>5603</v>
      </c>
      <c r="H203" s="2">
        <v>1635</v>
      </c>
      <c r="I203" s="2">
        <v>126</v>
      </c>
      <c r="J203" s="2">
        <v>210</v>
      </c>
      <c r="K203" s="2">
        <v>83</v>
      </c>
      <c r="L203" s="2">
        <v>74</v>
      </c>
      <c r="M203" s="2">
        <v>30</v>
      </c>
      <c r="N203" s="2">
        <v>16</v>
      </c>
      <c r="O203" s="2">
        <v>38</v>
      </c>
      <c r="P203" s="2">
        <v>6</v>
      </c>
    </row>
    <row r="204" spans="2:16" ht="10.5" customHeight="1">
      <c r="B204" s="6" t="s">
        <v>63</v>
      </c>
      <c r="C204" s="2">
        <v>552</v>
      </c>
      <c r="D204" s="2">
        <v>60</v>
      </c>
      <c r="E204" s="2">
        <v>239</v>
      </c>
      <c r="F204" s="2">
        <v>252</v>
      </c>
      <c r="G204" s="2">
        <v>934</v>
      </c>
      <c r="H204" s="2">
        <v>217</v>
      </c>
      <c r="I204" s="2">
        <v>18</v>
      </c>
      <c r="J204" s="2">
        <v>28</v>
      </c>
      <c r="K204" s="2">
        <v>7</v>
      </c>
      <c r="L204" s="2">
        <v>10</v>
      </c>
      <c r="M204" s="2">
        <v>7</v>
      </c>
      <c r="N204" s="2">
        <v>2</v>
      </c>
      <c r="O204" s="2">
        <v>5</v>
      </c>
      <c r="P204" s="2">
        <v>5</v>
      </c>
    </row>
    <row r="205" spans="1:16" ht="10.5" customHeight="1">
      <c r="A205" s="4" t="s">
        <v>76</v>
      </c>
      <c r="C205" s="3">
        <v>9618</v>
      </c>
      <c r="D205" s="3">
        <v>1096</v>
      </c>
      <c r="E205" s="3">
        <v>3751</v>
      </c>
      <c r="F205" s="3">
        <v>3264</v>
      </c>
      <c r="G205" s="3">
        <v>10348</v>
      </c>
      <c r="H205" s="3">
        <v>3081</v>
      </c>
      <c r="I205" s="3">
        <v>232</v>
      </c>
      <c r="J205" s="3">
        <v>484</v>
      </c>
      <c r="K205" s="3">
        <v>130</v>
      </c>
      <c r="L205" s="3">
        <v>144</v>
      </c>
      <c r="M205" s="3">
        <v>74</v>
      </c>
      <c r="N205" s="3">
        <v>31</v>
      </c>
      <c r="O205" s="3">
        <v>77</v>
      </c>
      <c r="P205" s="3">
        <v>25</v>
      </c>
    </row>
    <row r="206" spans="2:16" s="5" customFormat="1" ht="10.5" customHeight="1">
      <c r="B206" s="7" t="s">
        <v>159</v>
      </c>
      <c r="C206" s="5">
        <f>C205/14465</f>
        <v>0.664915312824058</v>
      </c>
      <c r="D206" s="5">
        <f>D205/14465</f>
        <v>0.07576909782232977</v>
      </c>
      <c r="E206" s="5">
        <f>E205/14465</f>
        <v>0.25931558935361215</v>
      </c>
      <c r="F206" s="5">
        <f>F205/17409</f>
        <v>0.18748922970877133</v>
      </c>
      <c r="G206" s="5">
        <f>G205/17409</f>
        <v>0.594405192716411</v>
      </c>
      <c r="H206" s="5">
        <f>H205/17409</f>
        <v>0.1769774254695847</v>
      </c>
      <c r="I206" s="5">
        <f>I205/17409</f>
        <v>0.013326440346946982</v>
      </c>
      <c r="J206" s="5">
        <f>J205/17409</f>
        <v>0.027801711758285944</v>
      </c>
      <c r="K206" s="5">
        <f>K205/348</f>
        <v>0.3735632183908046</v>
      </c>
      <c r="L206" s="5">
        <f>L205/348</f>
        <v>0.41379310344827586</v>
      </c>
      <c r="M206" s="5">
        <f>M205/348</f>
        <v>0.21264367816091953</v>
      </c>
      <c r="N206" s="5">
        <f>N205/31</f>
        <v>1</v>
      </c>
      <c r="O206" s="5">
        <f>O205/77</f>
        <v>1</v>
      </c>
      <c r="P206" s="5">
        <f>P205/25</f>
        <v>1</v>
      </c>
    </row>
    <row r="207" spans="2:16" ht="10.5" customHeight="1"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0.5" customHeight="1">
      <c r="A208" s="4" t="s">
        <v>115</v>
      </c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0.5" customHeight="1">
      <c r="B209" s="6" t="s">
        <v>62</v>
      </c>
      <c r="C209" s="2">
        <v>13190</v>
      </c>
      <c r="D209" s="2">
        <v>928</v>
      </c>
      <c r="E209" s="2">
        <v>3716</v>
      </c>
      <c r="F209" s="2">
        <v>1981</v>
      </c>
      <c r="G209" s="2">
        <v>8898</v>
      </c>
      <c r="H209" s="2">
        <v>2390</v>
      </c>
      <c r="I209" s="2">
        <v>235</v>
      </c>
      <c r="J209" s="2">
        <v>422</v>
      </c>
      <c r="K209" s="2">
        <v>87</v>
      </c>
      <c r="L209" s="2">
        <v>91</v>
      </c>
      <c r="M209" s="2">
        <v>72</v>
      </c>
      <c r="N209" s="2">
        <v>83</v>
      </c>
      <c r="O209" s="2">
        <v>61</v>
      </c>
      <c r="P209" s="2">
        <v>32</v>
      </c>
    </row>
    <row r="210" spans="2:16" ht="10.5" customHeight="1">
      <c r="B210" s="6" t="s">
        <v>63</v>
      </c>
      <c r="C210" s="2">
        <v>662</v>
      </c>
      <c r="D210" s="2">
        <v>61</v>
      </c>
      <c r="E210" s="2">
        <v>319</v>
      </c>
      <c r="F210" s="2">
        <v>146</v>
      </c>
      <c r="G210" s="2">
        <v>764</v>
      </c>
      <c r="H210" s="2">
        <v>159</v>
      </c>
      <c r="I210" s="2">
        <v>14</v>
      </c>
      <c r="J210" s="2">
        <v>46</v>
      </c>
      <c r="K210" s="2">
        <v>7</v>
      </c>
      <c r="L210" s="2">
        <v>7</v>
      </c>
      <c r="M210" s="2">
        <v>6</v>
      </c>
      <c r="N210" s="2">
        <v>1</v>
      </c>
      <c r="O210" s="2">
        <v>4</v>
      </c>
      <c r="P210" s="2">
        <v>2</v>
      </c>
    </row>
    <row r="211" spans="1:16" ht="10.5" customHeight="1">
      <c r="A211" s="4" t="s">
        <v>76</v>
      </c>
      <c r="C211" s="3">
        <v>13852</v>
      </c>
      <c r="D211" s="3">
        <v>989</v>
      </c>
      <c r="E211" s="3">
        <v>4035</v>
      </c>
      <c r="F211" s="3">
        <v>2127</v>
      </c>
      <c r="G211" s="3">
        <v>9662</v>
      </c>
      <c r="H211" s="3">
        <v>2549</v>
      </c>
      <c r="I211" s="3">
        <v>249</v>
      </c>
      <c r="J211" s="3">
        <v>468</v>
      </c>
      <c r="K211" s="3">
        <v>94</v>
      </c>
      <c r="L211" s="3">
        <v>98</v>
      </c>
      <c r="M211" s="3">
        <v>78</v>
      </c>
      <c r="N211" s="3">
        <v>84</v>
      </c>
      <c r="O211" s="3">
        <v>65</v>
      </c>
      <c r="P211" s="3">
        <v>34</v>
      </c>
    </row>
    <row r="212" spans="2:16" s="5" customFormat="1" ht="10.5" customHeight="1">
      <c r="B212" s="7" t="s">
        <v>159</v>
      </c>
      <c r="C212" s="5">
        <f>C211/18876</f>
        <v>0.7338419156600975</v>
      </c>
      <c r="D212" s="5">
        <f>D211/18876</f>
        <v>0.05239457512184785</v>
      </c>
      <c r="E212" s="5">
        <f>E211/18876</f>
        <v>0.21376350921805468</v>
      </c>
      <c r="F212" s="5">
        <f>F211/15055</f>
        <v>0.14128196612421123</v>
      </c>
      <c r="G212" s="5">
        <f>G211/15055</f>
        <v>0.6417801394885421</v>
      </c>
      <c r="H212" s="5">
        <f>H211/15055</f>
        <v>0.1693125207572235</v>
      </c>
      <c r="I212" s="5">
        <f>I211/15055</f>
        <v>0.016539355695782132</v>
      </c>
      <c r="J212" s="5">
        <f>J211/15055</f>
        <v>0.031086017934241116</v>
      </c>
      <c r="K212" s="5">
        <f>K211/270</f>
        <v>0.34814814814814815</v>
      </c>
      <c r="L212" s="5">
        <f>L211/270</f>
        <v>0.362962962962963</v>
      </c>
      <c r="M212" s="5">
        <f>M211/270</f>
        <v>0.28888888888888886</v>
      </c>
      <c r="N212" s="5">
        <f>N211/84</f>
        <v>1</v>
      </c>
      <c r="O212" s="5">
        <f>O211/65</f>
        <v>1</v>
      </c>
      <c r="P212" s="5">
        <f>P211/34</f>
        <v>1</v>
      </c>
    </row>
    <row r="213" spans="2:16" ht="10.5" customHeight="1"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0.5" customHeight="1">
      <c r="A214" s="4" t="s">
        <v>116</v>
      </c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0.5" customHeight="1">
      <c r="B215" s="6" t="s">
        <v>64</v>
      </c>
      <c r="C215" s="2">
        <v>14162</v>
      </c>
      <c r="D215" s="2">
        <v>1620</v>
      </c>
      <c r="E215" s="2">
        <v>5470</v>
      </c>
      <c r="F215" s="2">
        <v>12566</v>
      </c>
      <c r="G215" s="2">
        <v>29366</v>
      </c>
      <c r="H215" s="2">
        <v>9332</v>
      </c>
      <c r="I215" s="2">
        <v>336</v>
      </c>
      <c r="J215" s="2">
        <v>993</v>
      </c>
      <c r="K215" s="2">
        <v>297</v>
      </c>
      <c r="L215" s="2">
        <v>291</v>
      </c>
      <c r="M215" s="2">
        <v>170</v>
      </c>
      <c r="N215" s="2">
        <v>84</v>
      </c>
      <c r="O215" s="2">
        <v>271</v>
      </c>
      <c r="P215" s="2">
        <v>30</v>
      </c>
    </row>
    <row r="216" spans="2:16" ht="10.5" customHeight="1">
      <c r="B216" s="6" t="s">
        <v>66</v>
      </c>
      <c r="C216" s="2">
        <v>26</v>
      </c>
      <c r="D216" s="2">
        <v>12</v>
      </c>
      <c r="E216" s="2">
        <v>41</v>
      </c>
      <c r="F216" s="2">
        <v>34</v>
      </c>
      <c r="G216" s="2">
        <v>68</v>
      </c>
      <c r="H216" s="2">
        <v>15</v>
      </c>
      <c r="I216" s="2">
        <v>0</v>
      </c>
      <c r="J216" s="2">
        <v>4</v>
      </c>
      <c r="K216" s="2">
        <v>8</v>
      </c>
      <c r="L216" s="2">
        <v>3</v>
      </c>
      <c r="M216" s="2">
        <v>2</v>
      </c>
      <c r="N216" s="2">
        <v>0</v>
      </c>
      <c r="O216" s="2">
        <v>3</v>
      </c>
      <c r="P216" s="2">
        <v>0</v>
      </c>
    </row>
    <row r="217" spans="1:16" ht="10.5" customHeight="1">
      <c r="A217" s="4" t="s">
        <v>76</v>
      </c>
      <c r="C217" s="3">
        <v>14188</v>
      </c>
      <c r="D217" s="3">
        <v>1632</v>
      </c>
      <c r="E217" s="3">
        <v>5511</v>
      </c>
      <c r="F217" s="3">
        <v>12600</v>
      </c>
      <c r="G217" s="3">
        <v>29434</v>
      </c>
      <c r="H217" s="3">
        <v>9347</v>
      </c>
      <c r="I217" s="3">
        <v>336</v>
      </c>
      <c r="J217" s="3">
        <v>997</v>
      </c>
      <c r="K217" s="3">
        <v>305</v>
      </c>
      <c r="L217" s="3">
        <v>294</v>
      </c>
      <c r="M217" s="3">
        <v>172</v>
      </c>
      <c r="N217" s="3">
        <v>84</v>
      </c>
      <c r="O217" s="3">
        <v>274</v>
      </c>
      <c r="P217" s="3">
        <v>30</v>
      </c>
    </row>
    <row r="218" spans="2:16" s="5" customFormat="1" ht="10.5" customHeight="1">
      <c r="B218" s="7" t="s">
        <v>159</v>
      </c>
      <c r="C218" s="5">
        <f>C217/21331</f>
        <v>0.6651352491678777</v>
      </c>
      <c r="D218" s="5">
        <f>D217/21331</f>
        <v>0.07650836810276124</v>
      </c>
      <c r="E218" s="5">
        <f>E217/21331</f>
        <v>0.258356382729361</v>
      </c>
      <c r="F218" s="5">
        <f>F217/52714</f>
        <v>0.23902568577607466</v>
      </c>
      <c r="G218" s="5">
        <f>G217/52714</f>
        <v>0.5583715900899192</v>
      </c>
      <c r="H218" s="5">
        <f>H217/52714</f>
        <v>0.1773153242022992</v>
      </c>
      <c r="I218" s="5">
        <f>I217/52714</f>
        <v>0.006374018287361991</v>
      </c>
      <c r="J218" s="5">
        <f>J217/52714</f>
        <v>0.018913381644344956</v>
      </c>
      <c r="K218" s="5">
        <f>K217/771</f>
        <v>0.3955901426718547</v>
      </c>
      <c r="L218" s="5">
        <f>L217/771</f>
        <v>0.38132295719844356</v>
      </c>
      <c r="M218" s="5">
        <f>M217/771</f>
        <v>0.2230869001297017</v>
      </c>
      <c r="N218" s="5">
        <f>N217/84</f>
        <v>1</v>
      </c>
      <c r="O218" s="5">
        <f>O217/274</f>
        <v>1</v>
      </c>
      <c r="P218" s="5">
        <f>P217/30</f>
        <v>1</v>
      </c>
    </row>
    <row r="219" spans="2:16" ht="10.5" customHeight="1"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0.5" customHeight="1">
      <c r="A220" s="4" t="s">
        <v>117</v>
      </c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0.5" customHeight="1">
      <c r="B221" s="6" t="s">
        <v>67</v>
      </c>
      <c r="C221" s="2">
        <v>20893</v>
      </c>
      <c r="D221" s="2">
        <v>954</v>
      </c>
      <c r="E221" s="2">
        <v>3484</v>
      </c>
      <c r="F221" s="2">
        <v>5916</v>
      </c>
      <c r="G221" s="2">
        <v>20827</v>
      </c>
      <c r="H221" s="2">
        <v>7559</v>
      </c>
      <c r="I221" s="2">
        <v>391</v>
      </c>
      <c r="J221" s="2">
        <v>694</v>
      </c>
      <c r="K221" s="2">
        <v>140</v>
      </c>
      <c r="L221" s="2">
        <v>142</v>
      </c>
      <c r="M221" s="2">
        <v>94</v>
      </c>
      <c r="N221" s="2">
        <v>312</v>
      </c>
      <c r="O221" s="2">
        <v>296</v>
      </c>
      <c r="P221" s="2">
        <v>37</v>
      </c>
    </row>
    <row r="222" spans="2:16" ht="10.5" customHeight="1">
      <c r="B222" s="6" t="s">
        <v>68</v>
      </c>
      <c r="C222" s="2">
        <v>6557</v>
      </c>
      <c r="D222" s="2">
        <v>663</v>
      </c>
      <c r="E222" s="2">
        <v>2139</v>
      </c>
      <c r="F222" s="2">
        <v>3580</v>
      </c>
      <c r="G222" s="2">
        <v>8563</v>
      </c>
      <c r="H222" s="2">
        <v>3376</v>
      </c>
      <c r="I222" s="2">
        <v>199</v>
      </c>
      <c r="J222" s="2">
        <v>339</v>
      </c>
      <c r="K222" s="2">
        <v>95</v>
      </c>
      <c r="L222" s="2">
        <v>105</v>
      </c>
      <c r="M222" s="2">
        <v>57</v>
      </c>
      <c r="N222" s="2">
        <v>48</v>
      </c>
      <c r="O222" s="2">
        <v>85</v>
      </c>
      <c r="P222" s="2">
        <v>19</v>
      </c>
    </row>
    <row r="223" spans="1:16" ht="10.5" customHeight="1">
      <c r="A223" s="4" t="s">
        <v>76</v>
      </c>
      <c r="C223" s="3">
        <v>27450</v>
      </c>
      <c r="D223" s="3">
        <v>1617</v>
      </c>
      <c r="E223" s="3">
        <v>5623</v>
      </c>
      <c r="F223" s="3">
        <v>9496</v>
      </c>
      <c r="G223" s="3">
        <v>29390</v>
      </c>
      <c r="H223" s="3">
        <v>10935</v>
      </c>
      <c r="I223" s="3">
        <v>590</v>
      </c>
      <c r="J223" s="3">
        <v>1033</v>
      </c>
      <c r="K223" s="3">
        <v>235</v>
      </c>
      <c r="L223" s="3">
        <v>247</v>
      </c>
      <c r="M223" s="3">
        <v>151</v>
      </c>
      <c r="N223" s="3">
        <v>360</v>
      </c>
      <c r="O223" s="3">
        <v>381</v>
      </c>
      <c r="P223" s="3">
        <v>56</v>
      </c>
    </row>
    <row r="224" spans="2:16" s="5" customFormat="1" ht="10.5" customHeight="1">
      <c r="B224" s="7" t="s">
        <v>159</v>
      </c>
      <c r="C224" s="5">
        <f>C223/34690</f>
        <v>0.7912943211300086</v>
      </c>
      <c r="D224" s="5">
        <f>D223/34690</f>
        <v>0.04661285673104641</v>
      </c>
      <c r="E224" s="5">
        <f>E223/34690</f>
        <v>0.16209282213894494</v>
      </c>
      <c r="F224" s="5">
        <f>F223/51444</f>
        <v>0.1845890677241272</v>
      </c>
      <c r="G224" s="5">
        <f>G223/51444</f>
        <v>0.5713008319726305</v>
      </c>
      <c r="H224" s="5">
        <f>H223/51444</f>
        <v>0.21256123163051086</v>
      </c>
      <c r="I224" s="5">
        <f>I223/51444</f>
        <v>0.011468781587745898</v>
      </c>
      <c r="J224" s="5">
        <f>J223/51444</f>
        <v>0.020080087084985616</v>
      </c>
      <c r="K224" s="5">
        <f>K223/633</f>
        <v>0.3712480252764613</v>
      </c>
      <c r="L224" s="5">
        <f>L223/633</f>
        <v>0.3902053712480253</v>
      </c>
      <c r="M224" s="5">
        <f>M223/633</f>
        <v>0.23854660347551343</v>
      </c>
      <c r="N224" s="5">
        <f>N223/360</f>
        <v>1</v>
      </c>
      <c r="O224" s="5">
        <f>O223/381</f>
        <v>1</v>
      </c>
      <c r="P224" s="5">
        <f>P223/56</f>
        <v>1</v>
      </c>
    </row>
    <row r="225" spans="2:16" ht="10.5" customHeight="1"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0.5" customHeight="1">
      <c r="A226" s="4" t="s">
        <v>118</v>
      </c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0.5" customHeight="1">
      <c r="B227" s="6" t="s">
        <v>69</v>
      </c>
      <c r="C227" s="2">
        <v>1097</v>
      </c>
      <c r="D227" s="2">
        <v>131</v>
      </c>
      <c r="E227" s="2">
        <v>455</v>
      </c>
      <c r="F227" s="2">
        <v>579</v>
      </c>
      <c r="G227" s="2">
        <v>1476</v>
      </c>
      <c r="H227" s="2">
        <v>506</v>
      </c>
      <c r="I227" s="2">
        <v>24</v>
      </c>
      <c r="J227" s="2">
        <v>35</v>
      </c>
      <c r="K227" s="2">
        <v>21</v>
      </c>
      <c r="L227" s="2">
        <v>38</v>
      </c>
      <c r="M227" s="2">
        <v>17</v>
      </c>
      <c r="N227" s="2">
        <v>24</v>
      </c>
      <c r="O227" s="2">
        <v>30</v>
      </c>
      <c r="P227" s="2">
        <v>3</v>
      </c>
    </row>
    <row r="228" spans="2:16" ht="10.5" customHeight="1">
      <c r="B228" s="6" t="s">
        <v>64</v>
      </c>
      <c r="C228" s="2">
        <v>870</v>
      </c>
      <c r="D228" s="2">
        <v>187</v>
      </c>
      <c r="E228" s="2">
        <v>451</v>
      </c>
      <c r="F228" s="2">
        <v>717</v>
      </c>
      <c r="G228" s="2">
        <v>1857</v>
      </c>
      <c r="H228" s="2">
        <v>458</v>
      </c>
      <c r="I228" s="2">
        <v>17</v>
      </c>
      <c r="J228" s="2">
        <v>54</v>
      </c>
      <c r="K228" s="2">
        <v>26</v>
      </c>
      <c r="L228" s="2">
        <v>42</v>
      </c>
      <c r="M228" s="2">
        <v>16</v>
      </c>
      <c r="N228" s="2">
        <v>4</v>
      </c>
      <c r="O228" s="2">
        <v>23</v>
      </c>
      <c r="P228" s="2">
        <v>4</v>
      </c>
    </row>
    <row r="229" spans="2:16" ht="10.5" customHeight="1">
      <c r="B229" s="6" t="s">
        <v>66</v>
      </c>
      <c r="C229" s="2">
        <v>1395</v>
      </c>
      <c r="D229" s="2">
        <v>244</v>
      </c>
      <c r="E229" s="2">
        <v>687</v>
      </c>
      <c r="F229" s="2">
        <v>588</v>
      </c>
      <c r="G229" s="2">
        <v>1848</v>
      </c>
      <c r="H229" s="2">
        <v>523</v>
      </c>
      <c r="I229" s="2">
        <v>36</v>
      </c>
      <c r="J229" s="2">
        <v>73</v>
      </c>
      <c r="K229" s="2">
        <v>66</v>
      </c>
      <c r="L229" s="2">
        <v>83</v>
      </c>
      <c r="M229" s="2">
        <v>32</v>
      </c>
      <c r="N229" s="2">
        <v>14</v>
      </c>
      <c r="O229" s="2">
        <v>38</v>
      </c>
      <c r="P229" s="2">
        <v>7</v>
      </c>
    </row>
    <row r="230" spans="2:16" ht="10.5" customHeight="1">
      <c r="B230" s="6" t="s">
        <v>63</v>
      </c>
      <c r="C230" s="2">
        <v>7509</v>
      </c>
      <c r="D230" s="2">
        <v>847</v>
      </c>
      <c r="E230" s="2">
        <v>2920</v>
      </c>
      <c r="F230" s="2">
        <v>3841</v>
      </c>
      <c r="G230" s="2">
        <v>15211</v>
      </c>
      <c r="H230" s="2">
        <v>4338</v>
      </c>
      <c r="I230" s="2">
        <v>239</v>
      </c>
      <c r="J230" s="2">
        <v>375</v>
      </c>
      <c r="K230" s="2">
        <v>135</v>
      </c>
      <c r="L230" s="2">
        <v>171</v>
      </c>
      <c r="M230" s="2">
        <v>74</v>
      </c>
      <c r="N230" s="2">
        <v>66</v>
      </c>
      <c r="O230" s="2">
        <v>93</v>
      </c>
      <c r="P230" s="2">
        <v>15</v>
      </c>
    </row>
    <row r="231" spans="1:16" ht="10.5" customHeight="1">
      <c r="A231" s="4" t="s">
        <v>76</v>
      </c>
      <c r="C231" s="3">
        <v>10871</v>
      </c>
      <c r="D231" s="3">
        <v>1409</v>
      </c>
      <c r="E231" s="3">
        <v>4513</v>
      </c>
      <c r="F231" s="3">
        <v>5725</v>
      </c>
      <c r="G231" s="3">
        <v>20392</v>
      </c>
      <c r="H231" s="3">
        <v>5825</v>
      </c>
      <c r="I231" s="3">
        <v>316</v>
      </c>
      <c r="J231" s="3">
        <v>537</v>
      </c>
      <c r="K231" s="3">
        <v>248</v>
      </c>
      <c r="L231" s="3">
        <v>334</v>
      </c>
      <c r="M231" s="3">
        <v>139</v>
      </c>
      <c r="N231" s="3">
        <v>108</v>
      </c>
      <c r="O231" s="3">
        <v>184</v>
      </c>
      <c r="P231" s="3">
        <v>29</v>
      </c>
    </row>
    <row r="232" spans="2:16" s="5" customFormat="1" ht="10.5" customHeight="1">
      <c r="B232" s="7" t="s">
        <v>159</v>
      </c>
      <c r="C232" s="5">
        <f>C231/16793</f>
        <v>0.6473530637765735</v>
      </c>
      <c r="D232" s="5">
        <f>D231/16793</f>
        <v>0.08390400762222354</v>
      </c>
      <c r="E232" s="5">
        <f>E231/16793</f>
        <v>0.26874292860120286</v>
      </c>
      <c r="F232" s="5">
        <f>F231/32795</f>
        <v>0.1745692940997103</v>
      </c>
      <c r="G232" s="5">
        <f>G231/32795</f>
        <v>0.6218021039792652</v>
      </c>
      <c r="H232" s="5">
        <f>H231/32795</f>
        <v>0.17761853941149566</v>
      </c>
      <c r="I232" s="5">
        <f>I231/32795</f>
        <v>0.009635615185241652</v>
      </c>
      <c r="J232" s="5">
        <f>J231/32795</f>
        <v>0.01637444732428724</v>
      </c>
      <c r="K232" s="5">
        <f>K231/721</f>
        <v>0.34396671289875175</v>
      </c>
      <c r="L232" s="5">
        <f>L231/721</f>
        <v>0.463245492371706</v>
      </c>
      <c r="M232" s="5">
        <f>M231/721</f>
        <v>0.1927877947295423</v>
      </c>
      <c r="N232" s="5">
        <f>N231/108</f>
        <v>1</v>
      </c>
      <c r="O232" s="5">
        <f>O231/184</f>
        <v>1</v>
      </c>
      <c r="P232" s="5">
        <f>P231/29</f>
        <v>1</v>
      </c>
    </row>
    <row r="233" spans="2:16" ht="10.5" customHeight="1"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0.5" customHeight="1">
      <c r="A234" s="4" t="s">
        <v>119</v>
      </c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0.5" customHeight="1">
      <c r="B235" s="6" t="s">
        <v>68</v>
      </c>
      <c r="C235" s="2">
        <v>22544</v>
      </c>
      <c r="D235" s="2">
        <v>732</v>
      </c>
      <c r="E235" s="2">
        <v>2601</v>
      </c>
      <c r="F235" s="2">
        <v>2941</v>
      </c>
      <c r="G235" s="2">
        <v>11458</v>
      </c>
      <c r="H235" s="2">
        <v>4894</v>
      </c>
      <c r="I235" s="2">
        <v>210</v>
      </c>
      <c r="J235" s="2">
        <v>316</v>
      </c>
      <c r="K235" s="2">
        <v>64</v>
      </c>
      <c r="L235" s="2">
        <v>78</v>
      </c>
      <c r="M235" s="2">
        <v>74</v>
      </c>
      <c r="N235" s="2">
        <v>242</v>
      </c>
      <c r="O235" s="2">
        <v>183</v>
      </c>
      <c r="P235" s="2">
        <v>28</v>
      </c>
    </row>
    <row r="236" spans="2:16" ht="10.5" customHeight="1">
      <c r="B236" s="6" t="s">
        <v>70</v>
      </c>
      <c r="C236" s="2">
        <v>12369</v>
      </c>
      <c r="D236" s="2">
        <v>732</v>
      </c>
      <c r="E236" s="2">
        <v>2336</v>
      </c>
      <c r="F236" s="2">
        <v>2586</v>
      </c>
      <c r="G236" s="2">
        <v>7447</v>
      </c>
      <c r="H236" s="2">
        <v>2416</v>
      </c>
      <c r="I236" s="2">
        <v>88</v>
      </c>
      <c r="J236" s="2">
        <v>274</v>
      </c>
      <c r="K236" s="2">
        <v>70</v>
      </c>
      <c r="L236" s="2">
        <v>93</v>
      </c>
      <c r="M236" s="2">
        <v>57</v>
      </c>
      <c r="N236" s="2">
        <v>113</v>
      </c>
      <c r="O236" s="2">
        <v>103</v>
      </c>
      <c r="P236" s="2">
        <v>18</v>
      </c>
    </row>
    <row r="237" spans="1:16" ht="10.5" customHeight="1">
      <c r="A237" s="4" t="s">
        <v>76</v>
      </c>
      <c r="C237" s="3">
        <v>34913</v>
      </c>
      <c r="D237" s="3">
        <v>1464</v>
      </c>
      <c r="E237" s="3">
        <v>4937</v>
      </c>
      <c r="F237" s="3">
        <v>5527</v>
      </c>
      <c r="G237" s="3">
        <v>18905</v>
      </c>
      <c r="H237" s="3">
        <v>7310</v>
      </c>
      <c r="I237" s="3">
        <v>298</v>
      </c>
      <c r="J237" s="3">
        <v>590</v>
      </c>
      <c r="K237" s="3">
        <v>134</v>
      </c>
      <c r="L237" s="3">
        <v>171</v>
      </c>
      <c r="M237" s="3">
        <v>131</v>
      </c>
      <c r="N237" s="3">
        <v>355</v>
      </c>
      <c r="O237" s="3">
        <v>286</v>
      </c>
      <c r="P237" s="3">
        <v>46</v>
      </c>
    </row>
    <row r="238" spans="2:16" s="5" customFormat="1" ht="10.5" customHeight="1">
      <c r="B238" s="7" t="s">
        <v>159</v>
      </c>
      <c r="C238" s="5">
        <f>C237/41314</f>
        <v>0.845064627002953</v>
      </c>
      <c r="D238" s="5">
        <f>D237/41314</f>
        <v>0.035435929709057463</v>
      </c>
      <c r="E238" s="5">
        <f>E237/41314</f>
        <v>0.11949944328798955</v>
      </c>
      <c r="F238" s="5">
        <f>F237/32630</f>
        <v>0.16938400245173155</v>
      </c>
      <c r="G238" s="5">
        <f>G237/32630</f>
        <v>0.5793748084584738</v>
      </c>
      <c r="H238" s="5">
        <f>H237/32630</f>
        <v>0.22402696904688937</v>
      </c>
      <c r="I238" s="5">
        <f>I237/32630</f>
        <v>0.009132699969353356</v>
      </c>
      <c r="J238" s="5">
        <f>J237/32630</f>
        <v>0.018081520073551946</v>
      </c>
      <c r="K238" s="5">
        <f>K237/436</f>
        <v>0.3073394495412844</v>
      </c>
      <c r="L238" s="5">
        <f>L237/436</f>
        <v>0.3922018348623853</v>
      </c>
      <c r="M238" s="5">
        <f>M237/436</f>
        <v>0.30045871559633025</v>
      </c>
      <c r="N238" s="5">
        <f>N237/355</f>
        <v>1</v>
      </c>
      <c r="O238" s="5">
        <f>O237/286</f>
        <v>1</v>
      </c>
      <c r="P238" s="5">
        <f>P237/46</f>
        <v>1</v>
      </c>
    </row>
    <row r="239" spans="2:16" ht="10.5" customHeight="1"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0.5" customHeight="1">
      <c r="A240" s="4" t="s">
        <v>120</v>
      </c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0.5" customHeight="1">
      <c r="B241" s="6" t="s">
        <v>71</v>
      </c>
      <c r="C241" s="2">
        <v>7460</v>
      </c>
      <c r="D241" s="2">
        <v>1091</v>
      </c>
      <c r="E241" s="2">
        <v>2083</v>
      </c>
      <c r="F241" s="2">
        <v>3712</v>
      </c>
      <c r="G241" s="2">
        <v>13381</v>
      </c>
      <c r="H241" s="2">
        <v>2310</v>
      </c>
      <c r="I241" s="2">
        <v>150</v>
      </c>
      <c r="J241" s="2">
        <v>320</v>
      </c>
      <c r="K241" s="2">
        <v>152</v>
      </c>
      <c r="L241" s="2">
        <v>136</v>
      </c>
      <c r="M241" s="2">
        <v>108</v>
      </c>
      <c r="N241" s="2">
        <v>38</v>
      </c>
      <c r="O241" s="2">
        <v>79</v>
      </c>
      <c r="P241" s="2">
        <v>21</v>
      </c>
    </row>
    <row r="242" spans="2:16" ht="10.5" customHeight="1">
      <c r="B242" s="6" t="s">
        <v>66</v>
      </c>
      <c r="C242" s="2">
        <v>4069</v>
      </c>
      <c r="D242" s="2">
        <v>677</v>
      </c>
      <c r="E242" s="2">
        <v>1309</v>
      </c>
      <c r="F242" s="2">
        <v>2181</v>
      </c>
      <c r="G242" s="2">
        <v>7150</v>
      </c>
      <c r="H242" s="2">
        <v>1291</v>
      </c>
      <c r="I242" s="2">
        <v>45</v>
      </c>
      <c r="J242" s="2">
        <v>190</v>
      </c>
      <c r="K242" s="2">
        <v>143</v>
      </c>
      <c r="L242" s="2">
        <v>135</v>
      </c>
      <c r="M242" s="2">
        <v>72</v>
      </c>
      <c r="N242" s="2">
        <v>10</v>
      </c>
      <c r="O242" s="2">
        <v>96</v>
      </c>
      <c r="P242" s="2">
        <v>9</v>
      </c>
    </row>
    <row r="243" spans="1:16" ht="10.5" customHeight="1">
      <c r="A243" s="4" t="s">
        <v>76</v>
      </c>
      <c r="C243" s="3">
        <v>11529</v>
      </c>
      <c r="D243" s="3">
        <v>1768</v>
      </c>
      <c r="E243" s="3">
        <v>3392</v>
      </c>
      <c r="F243" s="3">
        <v>5893</v>
      </c>
      <c r="G243" s="3">
        <v>20531</v>
      </c>
      <c r="H243" s="3">
        <v>3601</v>
      </c>
      <c r="I243" s="3">
        <v>195</v>
      </c>
      <c r="J243" s="3">
        <v>510</v>
      </c>
      <c r="K243" s="3">
        <v>295</v>
      </c>
      <c r="L243" s="3">
        <v>271</v>
      </c>
      <c r="M243" s="3">
        <v>180</v>
      </c>
      <c r="N243" s="3">
        <v>48</v>
      </c>
      <c r="O243" s="3">
        <v>175</v>
      </c>
      <c r="P243" s="3">
        <v>30</v>
      </c>
    </row>
    <row r="244" spans="2:16" s="5" customFormat="1" ht="10.5" customHeight="1">
      <c r="B244" s="7" t="s">
        <v>159</v>
      </c>
      <c r="C244" s="5">
        <f>C243/16689</f>
        <v>0.6908143088261729</v>
      </c>
      <c r="D244" s="5">
        <f>D243/16689</f>
        <v>0.10593804302235005</v>
      </c>
      <c r="E244" s="5">
        <f>E243/16689</f>
        <v>0.20324764815147703</v>
      </c>
      <c r="F244" s="5">
        <f>F243/30730</f>
        <v>0.19176700292873414</v>
      </c>
      <c r="G244" s="5">
        <f>G243/30730</f>
        <v>0.6681093394077449</v>
      </c>
      <c r="H244" s="5">
        <f>H243/30730</f>
        <v>0.11718190693133745</v>
      </c>
      <c r="I244" s="5">
        <f>I243/30730</f>
        <v>0.006345590628050765</v>
      </c>
      <c r="J244" s="5">
        <f>J243/30730</f>
        <v>0.01659616010413277</v>
      </c>
      <c r="K244" s="5">
        <f>K243/746</f>
        <v>0.39544235924932974</v>
      </c>
      <c r="L244" s="5">
        <f>L243/746</f>
        <v>0.3632707774798928</v>
      </c>
      <c r="M244" s="5">
        <f>M243/746</f>
        <v>0.24128686327077747</v>
      </c>
      <c r="N244" s="5">
        <f>N243/48</f>
        <v>1</v>
      </c>
      <c r="O244" s="5">
        <f>O243/175</f>
        <v>1</v>
      </c>
      <c r="P244" s="5">
        <f>P243/30</f>
        <v>1</v>
      </c>
    </row>
    <row r="245" spans="2:16" ht="10.5" customHeight="1"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0.5" customHeight="1">
      <c r="A246" s="4" t="s">
        <v>121</v>
      </c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0.5" customHeight="1">
      <c r="B247" s="6" t="s">
        <v>64</v>
      </c>
      <c r="C247" s="2">
        <v>0</v>
      </c>
      <c r="D247" s="2">
        <v>0</v>
      </c>
      <c r="E247" s="2">
        <v>0</v>
      </c>
      <c r="F247" s="2">
        <v>1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</row>
    <row r="248" spans="2:16" ht="10.5" customHeight="1">
      <c r="B248" s="6" t="s">
        <v>71</v>
      </c>
      <c r="C248" s="2">
        <v>2837</v>
      </c>
      <c r="D248" s="2">
        <v>353</v>
      </c>
      <c r="E248" s="2">
        <v>607</v>
      </c>
      <c r="F248" s="2">
        <v>1380</v>
      </c>
      <c r="G248" s="2">
        <v>3924</v>
      </c>
      <c r="H248" s="2">
        <v>905</v>
      </c>
      <c r="I248" s="2">
        <v>73</v>
      </c>
      <c r="J248" s="2">
        <v>90</v>
      </c>
      <c r="K248" s="2">
        <v>24</v>
      </c>
      <c r="L248" s="2">
        <v>37</v>
      </c>
      <c r="M248" s="2">
        <v>24</v>
      </c>
      <c r="N248" s="2">
        <v>27</v>
      </c>
      <c r="O248" s="2">
        <v>47</v>
      </c>
      <c r="P248" s="2">
        <v>4</v>
      </c>
    </row>
    <row r="249" spans="2:16" ht="10.5" customHeight="1">
      <c r="B249" s="6" t="s">
        <v>70</v>
      </c>
      <c r="C249" s="2">
        <v>21873</v>
      </c>
      <c r="D249" s="2">
        <v>1526</v>
      </c>
      <c r="E249" s="2">
        <v>4130</v>
      </c>
      <c r="F249" s="2">
        <v>9015</v>
      </c>
      <c r="G249" s="2">
        <v>26753</v>
      </c>
      <c r="H249" s="2">
        <v>8423</v>
      </c>
      <c r="I249" s="2">
        <v>178</v>
      </c>
      <c r="J249" s="2">
        <v>618</v>
      </c>
      <c r="K249" s="2">
        <v>157</v>
      </c>
      <c r="L249" s="2">
        <v>217</v>
      </c>
      <c r="M249" s="2">
        <v>132</v>
      </c>
      <c r="N249" s="2">
        <v>209</v>
      </c>
      <c r="O249" s="2">
        <v>277</v>
      </c>
      <c r="P249" s="2">
        <v>30</v>
      </c>
    </row>
    <row r="250" spans="1:16" ht="10.5" customHeight="1">
      <c r="A250" s="4" t="s">
        <v>76</v>
      </c>
      <c r="C250" s="3">
        <v>24710</v>
      </c>
      <c r="D250" s="3">
        <v>1879</v>
      </c>
      <c r="E250" s="3">
        <v>4737</v>
      </c>
      <c r="F250" s="3">
        <v>10396</v>
      </c>
      <c r="G250" s="3">
        <v>30678</v>
      </c>
      <c r="H250" s="3">
        <v>9328</v>
      </c>
      <c r="I250" s="3">
        <v>251</v>
      </c>
      <c r="J250" s="3">
        <v>708</v>
      </c>
      <c r="K250" s="3">
        <v>181</v>
      </c>
      <c r="L250" s="3">
        <v>254</v>
      </c>
      <c r="M250" s="3">
        <v>156</v>
      </c>
      <c r="N250" s="3">
        <v>236</v>
      </c>
      <c r="O250" s="3">
        <v>324</v>
      </c>
      <c r="P250" s="3">
        <v>34</v>
      </c>
    </row>
    <row r="251" spans="2:16" s="5" customFormat="1" ht="10.5" customHeight="1">
      <c r="B251" s="7" t="s">
        <v>159</v>
      </c>
      <c r="C251" s="5">
        <f>C250/31326</f>
        <v>0.7888016344250782</v>
      </c>
      <c r="D251" s="5">
        <f>D250/31326</f>
        <v>0.05998212347570708</v>
      </c>
      <c r="E251" s="5">
        <f>E250/31326</f>
        <v>0.15121624209921472</v>
      </c>
      <c r="F251" s="5">
        <f>F250/51361</f>
        <v>0.20241038920581764</v>
      </c>
      <c r="G251" s="5">
        <f>G250/51361</f>
        <v>0.5973014544109344</v>
      </c>
      <c r="H251" s="5">
        <f>H250/51361</f>
        <v>0.18161640154981407</v>
      </c>
      <c r="I251" s="5">
        <f>I250/51361</f>
        <v>0.004886976499678745</v>
      </c>
      <c r="J251" s="5">
        <f>J250/51361</f>
        <v>0.013784778333755184</v>
      </c>
      <c r="K251" s="5">
        <f>K250/591</f>
        <v>0.3062605752961083</v>
      </c>
      <c r="L251" s="5">
        <f>L250/591</f>
        <v>0.42978003384094754</v>
      </c>
      <c r="M251" s="5">
        <f>M250/591</f>
        <v>0.2639593908629442</v>
      </c>
      <c r="N251" s="5">
        <f>N250/236</f>
        <v>1</v>
      </c>
      <c r="O251" s="5">
        <f>O250/324</f>
        <v>1</v>
      </c>
      <c r="P251" s="5">
        <f>P250/34</f>
        <v>1</v>
      </c>
    </row>
    <row r="252" spans="2:16" ht="10.5" customHeight="1"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0.5" customHeight="1">
      <c r="A253" s="4" t="s">
        <v>122</v>
      </c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0.5" customHeight="1">
      <c r="B254" s="6" t="s">
        <v>71</v>
      </c>
      <c r="C254" s="2">
        <v>14868</v>
      </c>
      <c r="D254" s="2">
        <v>1698</v>
      </c>
      <c r="E254" s="2">
        <v>3520</v>
      </c>
      <c r="F254" s="2">
        <v>7190</v>
      </c>
      <c r="G254" s="2">
        <v>20254</v>
      </c>
      <c r="H254" s="2">
        <v>5142</v>
      </c>
      <c r="I254" s="2">
        <v>382</v>
      </c>
      <c r="J254" s="2">
        <v>400</v>
      </c>
      <c r="K254" s="2">
        <v>125</v>
      </c>
      <c r="L254" s="2">
        <v>135</v>
      </c>
      <c r="M254" s="2">
        <v>120</v>
      </c>
      <c r="N254" s="2">
        <v>112</v>
      </c>
      <c r="O254" s="2">
        <v>193</v>
      </c>
      <c r="P254" s="2">
        <v>26</v>
      </c>
    </row>
    <row r="255" spans="2:16" ht="10.5" customHeight="1">
      <c r="B255" s="6" t="s">
        <v>70</v>
      </c>
      <c r="C255" s="2">
        <v>2905</v>
      </c>
      <c r="D255" s="2">
        <v>370</v>
      </c>
      <c r="E255" s="2">
        <v>881</v>
      </c>
      <c r="F255" s="2">
        <v>1856</v>
      </c>
      <c r="G255" s="2">
        <v>4857</v>
      </c>
      <c r="H255" s="2">
        <v>1465</v>
      </c>
      <c r="I255" s="2">
        <v>41</v>
      </c>
      <c r="J255" s="2">
        <v>91</v>
      </c>
      <c r="K255" s="2">
        <v>38</v>
      </c>
      <c r="L255" s="2">
        <v>60</v>
      </c>
      <c r="M255" s="2">
        <v>21</v>
      </c>
      <c r="N255" s="2">
        <v>22</v>
      </c>
      <c r="O255" s="2">
        <v>71</v>
      </c>
      <c r="P255" s="2">
        <v>8</v>
      </c>
    </row>
    <row r="256" spans="1:16" ht="10.5" customHeight="1">
      <c r="A256" s="4" t="s">
        <v>76</v>
      </c>
      <c r="C256" s="3">
        <v>17773</v>
      </c>
      <c r="D256" s="3">
        <v>2068</v>
      </c>
      <c r="E256" s="3">
        <v>4401</v>
      </c>
      <c r="F256" s="3">
        <v>9046</v>
      </c>
      <c r="G256" s="3">
        <v>25111</v>
      </c>
      <c r="H256" s="3">
        <v>6607</v>
      </c>
      <c r="I256" s="3">
        <v>423</v>
      </c>
      <c r="J256" s="3">
        <v>491</v>
      </c>
      <c r="K256" s="3">
        <v>163</v>
      </c>
      <c r="L256" s="3">
        <v>195</v>
      </c>
      <c r="M256" s="3">
        <v>141</v>
      </c>
      <c r="N256" s="3">
        <v>134</v>
      </c>
      <c r="O256" s="3">
        <v>264</v>
      </c>
      <c r="P256" s="3">
        <v>34</v>
      </c>
    </row>
    <row r="257" spans="2:16" s="5" customFormat="1" ht="10.5" customHeight="1">
      <c r="B257" s="7" t="s">
        <v>159</v>
      </c>
      <c r="C257" s="5">
        <f>C256/24242</f>
        <v>0.7331490801089019</v>
      </c>
      <c r="D257" s="5">
        <f>D256/24242</f>
        <v>0.08530649286362511</v>
      </c>
      <c r="E257" s="5">
        <f>E256/24242</f>
        <v>0.18154442702747298</v>
      </c>
      <c r="F257" s="5">
        <f>F256/41678</f>
        <v>0.2170449637698546</v>
      </c>
      <c r="G257" s="5">
        <f>G256/41678</f>
        <v>0.6025001199673689</v>
      </c>
      <c r="H257" s="5">
        <f>H256/41678</f>
        <v>0.15852488123230482</v>
      </c>
      <c r="I257" s="5">
        <f>I256/41678</f>
        <v>0.010149239406881328</v>
      </c>
      <c r="J257" s="5">
        <f>J256/41678</f>
        <v>0.011780795623590383</v>
      </c>
      <c r="K257" s="5">
        <f>K256/499</f>
        <v>0.32665330661322645</v>
      </c>
      <c r="L257" s="5">
        <f>L256/499</f>
        <v>0.3907815631262525</v>
      </c>
      <c r="M257" s="5">
        <f>M256/499</f>
        <v>0.28256513026052105</v>
      </c>
      <c r="N257" s="5">
        <f>N256/134</f>
        <v>1</v>
      </c>
      <c r="O257" s="5">
        <f>O256/264</f>
        <v>1</v>
      </c>
      <c r="P257" s="5">
        <f>P256/34</f>
        <v>1</v>
      </c>
    </row>
    <row r="258" spans="2:16" ht="10.5" customHeight="1"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0.5" customHeight="1">
      <c r="A259" s="4" t="s">
        <v>123</v>
      </c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0.5" customHeight="1">
      <c r="B260" s="6" t="s">
        <v>71</v>
      </c>
      <c r="C260" s="2">
        <v>9963</v>
      </c>
      <c r="D260" s="2">
        <v>869</v>
      </c>
      <c r="E260" s="2">
        <v>2004</v>
      </c>
      <c r="F260" s="2">
        <v>937</v>
      </c>
      <c r="G260" s="2">
        <v>3140</v>
      </c>
      <c r="H260" s="2">
        <v>1125</v>
      </c>
      <c r="I260" s="2">
        <v>77</v>
      </c>
      <c r="J260" s="2">
        <v>274</v>
      </c>
      <c r="K260" s="2">
        <v>82</v>
      </c>
      <c r="L260" s="2">
        <v>78</v>
      </c>
      <c r="M260" s="2">
        <v>72</v>
      </c>
      <c r="N260" s="2">
        <v>50</v>
      </c>
      <c r="O260" s="2">
        <v>51</v>
      </c>
      <c r="P260" s="2">
        <v>24</v>
      </c>
    </row>
    <row r="261" spans="1:16" ht="10.5" customHeight="1">
      <c r="A261" s="4" t="s">
        <v>76</v>
      </c>
      <c r="C261" s="3">
        <v>9963</v>
      </c>
      <c r="D261" s="3">
        <v>869</v>
      </c>
      <c r="E261" s="3">
        <v>2004</v>
      </c>
      <c r="F261" s="3">
        <v>937</v>
      </c>
      <c r="G261" s="3">
        <v>3140</v>
      </c>
      <c r="H261" s="3">
        <v>1125</v>
      </c>
      <c r="I261" s="3">
        <v>77</v>
      </c>
      <c r="J261" s="3">
        <v>274</v>
      </c>
      <c r="K261" s="3">
        <v>82</v>
      </c>
      <c r="L261" s="3">
        <v>78</v>
      </c>
      <c r="M261" s="3">
        <v>72</v>
      </c>
      <c r="N261" s="3">
        <v>50</v>
      </c>
      <c r="O261" s="3">
        <v>51</v>
      </c>
      <c r="P261" s="3">
        <v>24</v>
      </c>
    </row>
    <row r="262" spans="2:16" s="5" customFormat="1" ht="10.5" customHeight="1">
      <c r="B262" s="7" t="s">
        <v>159</v>
      </c>
      <c r="C262" s="5">
        <f>C261/12836</f>
        <v>0.7761763789342474</v>
      </c>
      <c r="D262" s="5">
        <f>D261/12836</f>
        <v>0.06770021813649112</v>
      </c>
      <c r="E262" s="5">
        <f>E261/12836</f>
        <v>0.15612340292926144</v>
      </c>
      <c r="F262" s="5">
        <f>F261/5553</f>
        <v>0.16873761930488024</v>
      </c>
      <c r="G262" s="5">
        <f>G261/5553</f>
        <v>0.5654601116513597</v>
      </c>
      <c r="H262" s="5">
        <f>H261/5553</f>
        <v>0.2025931928687196</v>
      </c>
      <c r="I262" s="5">
        <f>I261/5553</f>
        <v>0.013866378534125697</v>
      </c>
      <c r="J262" s="5">
        <f>J261/5553</f>
        <v>0.04934269764091482</v>
      </c>
      <c r="K262" s="5">
        <f>K261/232</f>
        <v>0.35344827586206895</v>
      </c>
      <c r="L262" s="5">
        <f>L261/232</f>
        <v>0.33620689655172414</v>
      </c>
      <c r="M262" s="5">
        <f>M261/232</f>
        <v>0.3103448275862069</v>
      </c>
      <c r="N262" s="5">
        <f>N261/50</f>
        <v>1</v>
      </c>
      <c r="O262" s="5">
        <f>O261/51</f>
        <v>1</v>
      </c>
      <c r="P262" s="5">
        <f>P261/24</f>
        <v>1</v>
      </c>
    </row>
    <row r="263" spans="2:16" ht="10.5" customHeight="1"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0.5" customHeight="1">
      <c r="A264" s="4" t="s">
        <v>124</v>
      </c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0.5" customHeight="1">
      <c r="B265" s="6" t="s">
        <v>71</v>
      </c>
      <c r="C265" s="2">
        <v>17283</v>
      </c>
      <c r="D265" s="2">
        <v>1534</v>
      </c>
      <c r="E265" s="2">
        <v>2905</v>
      </c>
      <c r="F265" s="2">
        <v>3005</v>
      </c>
      <c r="G265" s="2">
        <v>10330</v>
      </c>
      <c r="H265" s="2">
        <v>3120</v>
      </c>
      <c r="I265" s="2">
        <v>348</v>
      </c>
      <c r="J265" s="2">
        <v>339</v>
      </c>
      <c r="K265" s="2">
        <v>93</v>
      </c>
      <c r="L265" s="2">
        <v>126</v>
      </c>
      <c r="M265" s="2">
        <v>114</v>
      </c>
      <c r="N265" s="2">
        <v>128</v>
      </c>
      <c r="O265" s="2">
        <v>159</v>
      </c>
      <c r="P265" s="2">
        <v>37</v>
      </c>
    </row>
    <row r="266" spans="1:16" ht="10.5" customHeight="1">
      <c r="A266" s="4" t="s">
        <v>76</v>
      </c>
      <c r="C266" s="3">
        <v>17283</v>
      </c>
      <c r="D266" s="3">
        <v>1534</v>
      </c>
      <c r="E266" s="3">
        <v>2905</v>
      </c>
      <c r="F266" s="3">
        <v>3005</v>
      </c>
      <c r="G266" s="3">
        <v>10330</v>
      </c>
      <c r="H266" s="3">
        <v>3120</v>
      </c>
      <c r="I266" s="3">
        <v>348</v>
      </c>
      <c r="J266" s="3">
        <v>339</v>
      </c>
      <c r="K266" s="3">
        <v>93</v>
      </c>
      <c r="L266" s="3">
        <v>126</v>
      </c>
      <c r="M266" s="3">
        <v>114</v>
      </c>
      <c r="N266" s="3">
        <v>128</v>
      </c>
      <c r="O266" s="3">
        <v>159</v>
      </c>
      <c r="P266" s="3">
        <v>37</v>
      </c>
    </row>
    <row r="267" spans="2:16" s="5" customFormat="1" ht="10.5" customHeight="1">
      <c r="B267" s="7" t="s">
        <v>159</v>
      </c>
      <c r="C267" s="5">
        <f>C266/21722</f>
        <v>0.7956449682349691</v>
      </c>
      <c r="D267" s="5">
        <f>D266/21722</f>
        <v>0.07061964828284688</v>
      </c>
      <c r="E267" s="5">
        <f>E266/21722</f>
        <v>0.13373538348218397</v>
      </c>
      <c r="F267" s="5">
        <f>F266/17142</f>
        <v>0.17530043168825107</v>
      </c>
      <c r="G267" s="5">
        <f>G266/17142</f>
        <v>0.6026134640065337</v>
      </c>
      <c r="H267" s="5">
        <f>H266/17142</f>
        <v>0.18200910045502275</v>
      </c>
      <c r="I267" s="5">
        <f>I266/17142</f>
        <v>0.020301015050752536</v>
      </c>
      <c r="J267" s="5">
        <f>J266/17142</f>
        <v>0.01977598879943997</v>
      </c>
      <c r="K267" s="5">
        <f>K266/333</f>
        <v>0.27927927927927926</v>
      </c>
      <c r="L267" s="5">
        <f>L266/333</f>
        <v>0.3783783783783784</v>
      </c>
      <c r="M267" s="5">
        <f>M266/333</f>
        <v>0.34234234234234234</v>
      </c>
      <c r="N267" s="5">
        <f>N266/128</f>
        <v>1</v>
      </c>
      <c r="O267" s="5">
        <f>O266/159</f>
        <v>1</v>
      </c>
      <c r="P267" s="5">
        <f>P266/37</f>
        <v>1</v>
      </c>
    </row>
    <row r="268" spans="2:16" ht="10.5" customHeight="1"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0.5" customHeight="1">
      <c r="A269" s="4" t="s">
        <v>125</v>
      </c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0.5" customHeight="1">
      <c r="B270" s="6" t="s">
        <v>71</v>
      </c>
      <c r="C270" s="2">
        <v>25821</v>
      </c>
      <c r="D270" s="2">
        <v>1568</v>
      </c>
      <c r="E270" s="2">
        <v>2409</v>
      </c>
      <c r="F270" s="2">
        <v>2550</v>
      </c>
      <c r="G270" s="2">
        <v>13027</v>
      </c>
      <c r="H270" s="2">
        <v>4065</v>
      </c>
      <c r="I270" s="2">
        <v>206</v>
      </c>
      <c r="J270" s="2">
        <v>247</v>
      </c>
      <c r="K270" s="2">
        <v>72</v>
      </c>
      <c r="L270" s="2">
        <v>84</v>
      </c>
      <c r="M270" s="2">
        <v>108</v>
      </c>
      <c r="N270" s="2">
        <v>181</v>
      </c>
      <c r="O270" s="2">
        <v>155</v>
      </c>
      <c r="P270" s="2">
        <v>43</v>
      </c>
    </row>
    <row r="271" spans="2:16" ht="10.5" customHeight="1">
      <c r="B271" s="6" t="s">
        <v>70</v>
      </c>
      <c r="C271" s="2">
        <v>5982</v>
      </c>
      <c r="D271" s="2">
        <v>403</v>
      </c>
      <c r="E271" s="2">
        <v>1090</v>
      </c>
      <c r="F271" s="2">
        <v>1287</v>
      </c>
      <c r="G271" s="2">
        <v>4256</v>
      </c>
      <c r="H271" s="2">
        <v>1343</v>
      </c>
      <c r="I271" s="2">
        <v>37</v>
      </c>
      <c r="J271" s="2">
        <v>141</v>
      </c>
      <c r="K271" s="2">
        <v>34</v>
      </c>
      <c r="L271" s="2">
        <v>48</v>
      </c>
      <c r="M271" s="2">
        <v>36</v>
      </c>
      <c r="N271" s="2">
        <v>50</v>
      </c>
      <c r="O271" s="2">
        <v>60</v>
      </c>
      <c r="P271" s="2">
        <v>10</v>
      </c>
    </row>
    <row r="272" spans="1:16" ht="10.5" customHeight="1">
      <c r="A272" s="4" t="s">
        <v>76</v>
      </c>
      <c r="C272" s="3">
        <v>31803</v>
      </c>
      <c r="D272" s="3">
        <v>1971</v>
      </c>
      <c r="E272" s="3">
        <v>3499</v>
      </c>
      <c r="F272" s="3">
        <v>3837</v>
      </c>
      <c r="G272" s="3">
        <v>17283</v>
      </c>
      <c r="H272" s="3">
        <v>5408</v>
      </c>
      <c r="I272" s="3">
        <v>243</v>
      </c>
      <c r="J272" s="3">
        <v>388</v>
      </c>
      <c r="K272" s="3">
        <v>106</v>
      </c>
      <c r="L272" s="3">
        <v>132</v>
      </c>
      <c r="M272" s="3">
        <v>144</v>
      </c>
      <c r="N272" s="3">
        <v>231</v>
      </c>
      <c r="O272" s="3">
        <v>215</v>
      </c>
      <c r="P272" s="3">
        <v>53</v>
      </c>
    </row>
    <row r="273" spans="2:16" s="5" customFormat="1" ht="10.5" customHeight="1">
      <c r="B273" s="7" t="s">
        <v>159</v>
      </c>
      <c r="C273" s="5">
        <f>C272/37273</f>
        <v>0.8532449762562713</v>
      </c>
      <c r="D273" s="5">
        <f>D272/37273</f>
        <v>0.052880100877310654</v>
      </c>
      <c r="E273" s="5">
        <f>E272/37273</f>
        <v>0.09387492286641805</v>
      </c>
      <c r="F273" s="5">
        <f>F272/27159</f>
        <v>0.141279133988733</v>
      </c>
      <c r="G273" s="5">
        <f>G272/27159</f>
        <v>0.6363636363636364</v>
      </c>
      <c r="H273" s="5">
        <f>H272/27159</f>
        <v>0.19912367907507642</v>
      </c>
      <c r="I273" s="5">
        <f>I272/27159</f>
        <v>0.008947310283883795</v>
      </c>
      <c r="J273" s="5">
        <f>J272/27159</f>
        <v>0.014286240288670423</v>
      </c>
      <c r="K273" s="5">
        <f>K272/382</f>
        <v>0.2774869109947644</v>
      </c>
      <c r="L273" s="5">
        <f>L272/382</f>
        <v>0.34554973821989526</v>
      </c>
      <c r="M273" s="5">
        <f>M272/382</f>
        <v>0.3769633507853403</v>
      </c>
      <c r="N273" s="5">
        <f>N272/231</f>
        <v>1</v>
      </c>
      <c r="O273" s="5">
        <f>O272/215</f>
        <v>1</v>
      </c>
      <c r="P273" s="5">
        <f>P272/53</f>
        <v>1</v>
      </c>
    </row>
    <row r="274" spans="2:16" ht="10.5" customHeight="1"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0.5" customHeight="1">
      <c r="A275" s="4" t="s">
        <v>126</v>
      </c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0.5" customHeight="1">
      <c r="B276" s="6" t="s">
        <v>71</v>
      </c>
      <c r="C276" s="2">
        <v>36346</v>
      </c>
      <c r="D276" s="2">
        <v>2231</v>
      </c>
      <c r="E276" s="2">
        <v>2225</v>
      </c>
      <c r="F276" s="2">
        <v>2421</v>
      </c>
      <c r="G276" s="2">
        <v>10263</v>
      </c>
      <c r="H276" s="2">
        <v>3794</v>
      </c>
      <c r="I276" s="2">
        <v>274</v>
      </c>
      <c r="J276" s="2">
        <v>276</v>
      </c>
      <c r="K276" s="2">
        <v>86</v>
      </c>
      <c r="L276" s="2">
        <v>78</v>
      </c>
      <c r="M276" s="2">
        <v>90</v>
      </c>
      <c r="N276" s="2">
        <v>202</v>
      </c>
      <c r="O276" s="2">
        <v>172</v>
      </c>
      <c r="P276" s="2">
        <v>37</v>
      </c>
    </row>
    <row r="277" spans="1:16" ht="10.5" customHeight="1">
      <c r="A277" s="4" t="s">
        <v>76</v>
      </c>
      <c r="C277" s="3">
        <v>36346</v>
      </c>
      <c r="D277" s="3">
        <v>2231</v>
      </c>
      <c r="E277" s="3">
        <v>2225</v>
      </c>
      <c r="F277" s="3">
        <v>2421</v>
      </c>
      <c r="G277" s="3">
        <v>10263</v>
      </c>
      <c r="H277" s="3">
        <v>3794</v>
      </c>
      <c r="I277" s="3">
        <v>274</v>
      </c>
      <c r="J277" s="3">
        <v>276</v>
      </c>
      <c r="K277" s="3">
        <v>86</v>
      </c>
      <c r="L277" s="3">
        <v>78</v>
      </c>
      <c r="M277" s="3">
        <v>90</v>
      </c>
      <c r="N277" s="3">
        <v>202</v>
      </c>
      <c r="O277" s="3">
        <v>172</v>
      </c>
      <c r="P277" s="3">
        <v>37</v>
      </c>
    </row>
    <row r="278" spans="2:16" s="5" customFormat="1" ht="10.5" customHeight="1">
      <c r="B278" s="7" t="s">
        <v>159</v>
      </c>
      <c r="C278" s="5">
        <f>C277/40802</f>
        <v>0.8907896671731778</v>
      </c>
      <c r="D278" s="5">
        <f>D277/40802</f>
        <v>0.05467869222096956</v>
      </c>
      <c r="E278" s="5">
        <f>E277/40802</f>
        <v>0.05453164060585265</v>
      </c>
      <c r="F278" s="5">
        <f>F277/17028</f>
        <v>0.14217758985200846</v>
      </c>
      <c r="G278" s="5">
        <f>G277/17028</f>
        <v>0.6027131782945736</v>
      </c>
      <c r="H278" s="5">
        <f>H277/17028</f>
        <v>0.22280949025135072</v>
      </c>
      <c r="I278" s="5">
        <f>I277/17028</f>
        <v>0.01609114399812074</v>
      </c>
      <c r="J278" s="5">
        <f>J277/17028</f>
        <v>0.01620859760394644</v>
      </c>
      <c r="K278" s="5">
        <f>K277/254</f>
        <v>0.33858267716535434</v>
      </c>
      <c r="L278" s="5">
        <f>L277/254</f>
        <v>0.30708661417322836</v>
      </c>
      <c r="M278" s="5">
        <f>M277/254</f>
        <v>0.3543307086614173</v>
      </c>
      <c r="N278" s="5">
        <f>N277/202</f>
        <v>1</v>
      </c>
      <c r="O278" s="5">
        <f>O277/172</f>
        <v>1</v>
      </c>
      <c r="P278" s="5">
        <f>P277/37</f>
        <v>1</v>
      </c>
    </row>
    <row r="279" spans="2:16" ht="10.5" customHeight="1"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0.5" customHeight="1">
      <c r="A280" s="4" t="s">
        <v>127</v>
      </c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0.5" customHeight="1">
      <c r="B281" s="6" t="s">
        <v>71</v>
      </c>
      <c r="C281" s="2">
        <v>19573</v>
      </c>
      <c r="D281" s="2">
        <v>1169</v>
      </c>
      <c r="E281" s="2">
        <v>2438</v>
      </c>
      <c r="F281" s="2">
        <v>3044</v>
      </c>
      <c r="G281" s="2">
        <v>10253</v>
      </c>
      <c r="H281" s="2">
        <v>3118</v>
      </c>
      <c r="I281" s="2">
        <v>545</v>
      </c>
      <c r="J281" s="2">
        <v>364</v>
      </c>
      <c r="K281" s="2">
        <v>83</v>
      </c>
      <c r="L281" s="2">
        <v>110</v>
      </c>
      <c r="M281" s="2">
        <v>86</v>
      </c>
      <c r="N281" s="2">
        <v>168</v>
      </c>
      <c r="O281" s="2">
        <v>143</v>
      </c>
      <c r="P281" s="2">
        <v>43</v>
      </c>
    </row>
    <row r="282" spans="1:16" ht="10.5" customHeight="1">
      <c r="A282" s="4" t="s">
        <v>76</v>
      </c>
      <c r="C282" s="3">
        <v>19573</v>
      </c>
      <c r="D282" s="3">
        <v>1169</v>
      </c>
      <c r="E282" s="3">
        <v>2438</v>
      </c>
      <c r="F282" s="3">
        <v>3044</v>
      </c>
      <c r="G282" s="3">
        <v>10253</v>
      </c>
      <c r="H282" s="3">
        <v>3118</v>
      </c>
      <c r="I282" s="3">
        <v>545</v>
      </c>
      <c r="J282" s="3">
        <v>364</v>
      </c>
      <c r="K282" s="3">
        <v>83</v>
      </c>
      <c r="L282" s="3">
        <v>110</v>
      </c>
      <c r="M282" s="3">
        <v>86</v>
      </c>
      <c r="N282" s="3">
        <v>168</v>
      </c>
      <c r="O282" s="3">
        <v>143</v>
      </c>
      <c r="P282" s="3">
        <v>43</v>
      </c>
    </row>
    <row r="283" spans="2:16" s="5" customFormat="1" ht="10.5" customHeight="1">
      <c r="B283" s="7" t="s">
        <v>159</v>
      </c>
      <c r="C283" s="5">
        <f>C282/23180</f>
        <v>0.8443917169974116</v>
      </c>
      <c r="D283" s="5">
        <f>D282/23180</f>
        <v>0.0504314063848145</v>
      </c>
      <c r="E283" s="5">
        <f>E282/23180</f>
        <v>0.10517687661777395</v>
      </c>
      <c r="F283" s="5">
        <f>F282/17324</f>
        <v>0.1757099976910644</v>
      </c>
      <c r="G283" s="5">
        <f>G282/17324</f>
        <v>0.5918379127222351</v>
      </c>
      <c r="H283" s="5">
        <f>H282/17324</f>
        <v>0.17998152851535443</v>
      </c>
      <c r="I283" s="5">
        <f>I282/17324</f>
        <v>0.03145924728700069</v>
      </c>
      <c r="J283" s="5">
        <f>J282/17324</f>
        <v>0.021011313784345415</v>
      </c>
      <c r="K283" s="5">
        <f>K282/279</f>
        <v>0.2974910394265233</v>
      </c>
      <c r="L283" s="5">
        <f>L282/279</f>
        <v>0.3942652329749104</v>
      </c>
      <c r="M283" s="5">
        <f>M282/279</f>
        <v>0.30824372759856633</v>
      </c>
      <c r="N283" s="5">
        <f>N282/168</f>
        <v>1</v>
      </c>
      <c r="O283" s="5">
        <f>O282/143</f>
        <v>1</v>
      </c>
      <c r="P283" s="5">
        <f>P282/43</f>
        <v>1</v>
      </c>
    </row>
    <row r="284" spans="2:16" ht="10.5" customHeight="1"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0.5" customHeight="1">
      <c r="A285" s="4" t="s">
        <v>128</v>
      </c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0.5" customHeight="1">
      <c r="B286" s="6" t="s">
        <v>71</v>
      </c>
      <c r="C286" s="2">
        <v>24616</v>
      </c>
      <c r="D286" s="2">
        <v>1467</v>
      </c>
      <c r="E286" s="2">
        <v>3131</v>
      </c>
      <c r="F286" s="2">
        <v>3923</v>
      </c>
      <c r="G286" s="2">
        <v>15286</v>
      </c>
      <c r="H286" s="2">
        <v>5421</v>
      </c>
      <c r="I286" s="2">
        <v>290</v>
      </c>
      <c r="J286" s="2">
        <v>415</v>
      </c>
      <c r="K286" s="2">
        <v>81</v>
      </c>
      <c r="L286" s="2">
        <v>77</v>
      </c>
      <c r="M286" s="2">
        <v>115</v>
      </c>
      <c r="N286" s="2">
        <v>225</v>
      </c>
      <c r="O286" s="2">
        <v>171</v>
      </c>
      <c r="P286" s="2">
        <v>42</v>
      </c>
    </row>
    <row r="287" spans="1:16" ht="10.5" customHeight="1">
      <c r="A287" s="4" t="s">
        <v>76</v>
      </c>
      <c r="C287" s="3">
        <v>24616</v>
      </c>
      <c r="D287" s="3">
        <v>1467</v>
      </c>
      <c r="E287" s="3">
        <v>3131</v>
      </c>
      <c r="F287" s="3">
        <v>3923</v>
      </c>
      <c r="G287" s="3">
        <v>15286</v>
      </c>
      <c r="H287" s="3">
        <v>5421</v>
      </c>
      <c r="I287" s="3">
        <v>290</v>
      </c>
      <c r="J287" s="3">
        <v>415</v>
      </c>
      <c r="K287" s="3">
        <v>81</v>
      </c>
      <c r="L287" s="3">
        <v>77</v>
      </c>
      <c r="M287" s="3">
        <v>115</v>
      </c>
      <c r="N287" s="3">
        <v>225</v>
      </c>
      <c r="O287" s="3">
        <v>171</v>
      </c>
      <c r="P287" s="3">
        <v>42</v>
      </c>
    </row>
    <row r="288" spans="2:16" s="5" customFormat="1" ht="10.5" customHeight="1">
      <c r="B288" s="7" t="s">
        <v>159</v>
      </c>
      <c r="C288" s="5">
        <f>C287/29214</f>
        <v>0.8426097076744027</v>
      </c>
      <c r="D288" s="5">
        <f>D287/29214</f>
        <v>0.05021565003080715</v>
      </c>
      <c r="E288" s="5">
        <f>E287/29214</f>
        <v>0.10717464229479017</v>
      </c>
      <c r="F288" s="5">
        <f>F287/25335</f>
        <v>0.1548450759818433</v>
      </c>
      <c r="G288" s="5">
        <f>G287/25335</f>
        <v>0.603355042431419</v>
      </c>
      <c r="H288" s="5">
        <f>H287/25335</f>
        <v>0.21397276494967438</v>
      </c>
      <c r="I288" s="5">
        <f>I287/25335</f>
        <v>0.01144661535425301</v>
      </c>
      <c r="J288" s="5">
        <f>J287/25335</f>
        <v>0.01638050128281034</v>
      </c>
      <c r="K288" s="5">
        <f>K287/273</f>
        <v>0.2967032967032967</v>
      </c>
      <c r="L288" s="5">
        <f>L287/273</f>
        <v>0.28205128205128205</v>
      </c>
      <c r="M288" s="5">
        <f>M287/273</f>
        <v>0.42124542124542125</v>
      </c>
      <c r="N288" s="5">
        <f>N287/225</f>
        <v>1</v>
      </c>
      <c r="O288" s="5">
        <f>O287/171</f>
        <v>1</v>
      </c>
      <c r="P288" s="5">
        <f>P287/42</f>
        <v>1</v>
      </c>
    </row>
    <row r="289" spans="2:16" ht="10.5" customHeight="1"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0.5" customHeight="1">
      <c r="A290" s="4" t="s">
        <v>129</v>
      </c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0.5" customHeight="1">
      <c r="B291" s="6" t="s">
        <v>71</v>
      </c>
      <c r="C291" s="2">
        <v>14687</v>
      </c>
      <c r="D291" s="2">
        <v>815</v>
      </c>
      <c r="E291" s="2">
        <v>1886</v>
      </c>
      <c r="F291" s="2">
        <v>627</v>
      </c>
      <c r="G291" s="2">
        <v>2188</v>
      </c>
      <c r="H291" s="2">
        <v>891</v>
      </c>
      <c r="I291" s="2">
        <v>130</v>
      </c>
      <c r="J291" s="2">
        <v>284</v>
      </c>
      <c r="K291" s="2">
        <v>63</v>
      </c>
      <c r="L291" s="2">
        <v>49</v>
      </c>
      <c r="M291" s="2">
        <v>59</v>
      </c>
      <c r="N291" s="2">
        <v>177</v>
      </c>
      <c r="O291" s="2">
        <v>63</v>
      </c>
      <c r="P291" s="2">
        <v>64</v>
      </c>
    </row>
    <row r="292" spans="1:16" ht="10.5" customHeight="1">
      <c r="A292" s="4" t="s">
        <v>76</v>
      </c>
      <c r="C292" s="3">
        <v>14687</v>
      </c>
      <c r="D292" s="3">
        <v>815</v>
      </c>
      <c r="E292" s="3">
        <v>1886</v>
      </c>
      <c r="F292" s="3">
        <v>627</v>
      </c>
      <c r="G292" s="3">
        <v>2188</v>
      </c>
      <c r="H292" s="3">
        <v>891</v>
      </c>
      <c r="I292" s="3">
        <v>130</v>
      </c>
      <c r="J292" s="3">
        <v>284</v>
      </c>
      <c r="K292" s="3">
        <v>63</v>
      </c>
      <c r="L292" s="3">
        <v>49</v>
      </c>
      <c r="M292" s="3">
        <v>59</v>
      </c>
      <c r="N292" s="3">
        <v>177</v>
      </c>
      <c r="O292" s="3">
        <v>63</v>
      </c>
      <c r="P292" s="3">
        <v>64</v>
      </c>
    </row>
    <row r="293" spans="2:16" s="5" customFormat="1" ht="10.5" customHeight="1">
      <c r="B293" s="7" t="s">
        <v>159</v>
      </c>
      <c r="C293" s="5">
        <f>C292/17388</f>
        <v>0.8446629859673338</v>
      </c>
      <c r="D293" s="5">
        <f>D292/17388</f>
        <v>0.04687140556705774</v>
      </c>
      <c r="E293" s="5">
        <f>E292/17388</f>
        <v>0.10846560846560846</v>
      </c>
      <c r="F293" s="5">
        <f>F292/4120</f>
        <v>0.15218446601941749</v>
      </c>
      <c r="G293" s="5">
        <f>G292/4120</f>
        <v>0.5310679611650485</v>
      </c>
      <c r="H293" s="5">
        <f>H292/4120</f>
        <v>0.2162621359223301</v>
      </c>
      <c r="I293" s="5">
        <f>I292/4120</f>
        <v>0.03155339805825243</v>
      </c>
      <c r="J293" s="5">
        <f>J292/4120</f>
        <v>0.06893203883495146</v>
      </c>
      <c r="K293" s="5">
        <f>K292/171</f>
        <v>0.3684210526315789</v>
      </c>
      <c r="L293" s="5">
        <f>L292/171</f>
        <v>0.28654970760233917</v>
      </c>
      <c r="M293" s="5">
        <f>M292/171</f>
        <v>0.34502923976608185</v>
      </c>
      <c r="N293" s="5">
        <f>N292/177</f>
        <v>1</v>
      </c>
      <c r="O293" s="5">
        <f>O292/63</f>
        <v>1</v>
      </c>
      <c r="P293" s="5">
        <f>P292/64</f>
        <v>1</v>
      </c>
    </row>
    <row r="294" spans="2:16" ht="10.5" customHeight="1"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0.5" customHeight="1">
      <c r="A295" s="4" t="s">
        <v>130</v>
      </c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0.5" customHeight="1">
      <c r="B296" s="6" t="s">
        <v>71</v>
      </c>
      <c r="C296" s="2">
        <v>9886</v>
      </c>
      <c r="D296" s="2">
        <v>398</v>
      </c>
      <c r="E296" s="2">
        <v>1662</v>
      </c>
      <c r="F296" s="2">
        <v>316</v>
      </c>
      <c r="G296" s="2">
        <v>946</v>
      </c>
      <c r="H296" s="2">
        <v>400</v>
      </c>
      <c r="I296" s="2">
        <v>53</v>
      </c>
      <c r="J296" s="2">
        <v>209</v>
      </c>
      <c r="K296" s="2">
        <v>22</v>
      </c>
      <c r="L296" s="2">
        <v>36</v>
      </c>
      <c r="M296" s="2">
        <v>39</v>
      </c>
      <c r="N296" s="2">
        <v>44</v>
      </c>
      <c r="O296" s="2">
        <v>38</v>
      </c>
      <c r="P296" s="2">
        <v>36</v>
      </c>
    </row>
    <row r="297" spans="1:16" ht="10.5" customHeight="1">
      <c r="A297" s="4" t="s">
        <v>76</v>
      </c>
      <c r="C297" s="3">
        <v>9886</v>
      </c>
      <c r="D297" s="3">
        <v>398</v>
      </c>
      <c r="E297" s="3">
        <v>1662</v>
      </c>
      <c r="F297" s="3">
        <v>316</v>
      </c>
      <c r="G297" s="3">
        <v>946</v>
      </c>
      <c r="H297" s="3">
        <v>400</v>
      </c>
      <c r="I297" s="3">
        <v>53</v>
      </c>
      <c r="J297" s="3">
        <v>209</v>
      </c>
      <c r="K297" s="3">
        <v>22</v>
      </c>
      <c r="L297" s="3">
        <v>36</v>
      </c>
      <c r="M297" s="3">
        <v>39</v>
      </c>
      <c r="N297" s="3">
        <v>44</v>
      </c>
      <c r="O297" s="3">
        <v>38</v>
      </c>
      <c r="P297" s="3">
        <v>36</v>
      </c>
    </row>
    <row r="298" spans="2:16" s="5" customFormat="1" ht="10.5" customHeight="1">
      <c r="B298" s="7" t="s">
        <v>159</v>
      </c>
      <c r="C298" s="5">
        <f>C297/11946</f>
        <v>0.8275573413694961</v>
      </c>
      <c r="D298" s="5">
        <f>D297/11946</f>
        <v>0.03331659132764105</v>
      </c>
      <c r="E298" s="5">
        <f>E297/11946</f>
        <v>0.1391260673028629</v>
      </c>
      <c r="F298" s="5">
        <f>F297/1924</f>
        <v>0.16424116424116425</v>
      </c>
      <c r="G298" s="5">
        <f>G297/1924</f>
        <v>0.4916839916839917</v>
      </c>
      <c r="H298" s="5">
        <f>H297/1924</f>
        <v>0.2079002079002079</v>
      </c>
      <c r="I298" s="5">
        <f>I297/1924</f>
        <v>0.02754677754677755</v>
      </c>
      <c r="J298" s="5">
        <f>J297/1924</f>
        <v>0.10862785862785863</v>
      </c>
      <c r="K298" s="5">
        <f>K297/97</f>
        <v>0.2268041237113402</v>
      </c>
      <c r="L298" s="5">
        <f>L297/97</f>
        <v>0.3711340206185567</v>
      </c>
      <c r="M298" s="5">
        <f>M297/97</f>
        <v>0.4020618556701031</v>
      </c>
      <c r="N298" s="5">
        <f>N297/44</f>
        <v>1</v>
      </c>
      <c r="O298" s="5">
        <f>O297/38</f>
        <v>1</v>
      </c>
      <c r="P298" s="5">
        <f>P297/36</f>
        <v>1</v>
      </c>
    </row>
    <row r="299" spans="2:16" ht="10.5" customHeight="1"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0.5" customHeight="1">
      <c r="A300" s="4" t="s">
        <v>131</v>
      </c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0.5" customHeight="1">
      <c r="B301" s="6" t="s">
        <v>71</v>
      </c>
      <c r="C301" s="2">
        <v>37132</v>
      </c>
      <c r="D301" s="2">
        <v>1465</v>
      </c>
      <c r="E301" s="2">
        <v>2383</v>
      </c>
      <c r="F301" s="2">
        <v>1364</v>
      </c>
      <c r="G301" s="2">
        <v>4674</v>
      </c>
      <c r="H301" s="2">
        <v>1833</v>
      </c>
      <c r="I301" s="2">
        <v>108</v>
      </c>
      <c r="J301" s="2">
        <v>196</v>
      </c>
      <c r="K301" s="2">
        <v>56</v>
      </c>
      <c r="L301" s="2">
        <v>68</v>
      </c>
      <c r="M301" s="2">
        <v>92</v>
      </c>
      <c r="N301" s="2">
        <v>185</v>
      </c>
      <c r="O301" s="2">
        <v>103</v>
      </c>
      <c r="P301" s="2">
        <v>46</v>
      </c>
    </row>
    <row r="302" spans="1:16" ht="10.5" customHeight="1">
      <c r="A302" s="4" t="s">
        <v>76</v>
      </c>
      <c r="C302" s="3">
        <v>37132</v>
      </c>
      <c r="D302" s="3">
        <v>1465</v>
      </c>
      <c r="E302" s="3">
        <v>2383</v>
      </c>
      <c r="F302" s="3">
        <v>1364</v>
      </c>
      <c r="G302" s="3">
        <v>4674</v>
      </c>
      <c r="H302" s="3">
        <v>1833</v>
      </c>
      <c r="I302" s="3">
        <v>108</v>
      </c>
      <c r="J302" s="3">
        <v>196</v>
      </c>
      <c r="K302" s="3">
        <v>56</v>
      </c>
      <c r="L302" s="3">
        <v>68</v>
      </c>
      <c r="M302" s="3">
        <v>92</v>
      </c>
      <c r="N302" s="3">
        <v>185</v>
      </c>
      <c r="O302" s="3">
        <v>103</v>
      </c>
      <c r="P302" s="3">
        <v>46</v>
      </c>
    </row>
    <row r="303" spans="2:16" s="5" customFormat="1" ht="10.5" customHeight="1">
      <c r="B303" s="7" t="s">
        <v>159</v>
      </c>
      <c r="C303" s="5">
        <f>C302/40980</f>
        <v>0.9061005368472426</v>
      </c>
      <c r="D303" s="5">
        <f>D302/40980</f>
        <v>0.03574914592484139</v>
      </c>
      <c r="E303" s="5">
        <f>E302/40980</f>
        <v>0.058150317227916054</v>
      </c>
      <c r="F303" s="5">
        <f>F302/8175</f>
        <v>0.16685015290519878</v>
      </c>
      <c r="G303" s="5">
        <f>G302/8175</f>
        <v>0.571743119266055</v>
      </c>
      <c r="H303" s="5">
        <f>H302/8175</f>
        <v>0.22422018348623854</v>
      </c>
      <c r="I303" s="5">
        <f>I302/8175</f>
        <v>0.013211009174311927</v>
      </c>
      <c r="J303" s="5">
        <f>J302/8175</f>
        <v>0.023975535168195717</v>
      </c>
      <c r="K303" s="5">
        <f>K302/216</f>
        <v>0.25925925925925924</v>
      </c>
      <c r="L303" s="5">
        <f>L302/216</f>
        <v>0.3148148148148148</v>
      </c>
      <c r="M303" s="5">
        <f>M302/216</f>
        <v>0.42592592592592593</v>
      </c>
      <c r="N303" s="5">
        <f>N302/185</f>
        <v>1</v>
      </c>
      <c r="O303" s="5">
        <f>O302/103</f>
        <v>1</v>
      </c>
      <c r="P303" s="5">
        <f>P302/46</f>
        <v>1</v>
      </c>
    </row>
    <row r="304" spans="2:16" ht="10.5" customHeight="1"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0.5" customHeight="1">
      <c r="A305" s="4" t="s">
        <v>132</v>
      </c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0.5" customHeight="1">
      <c r="B306" s="6" t="s">
        <v>71</v>
      </c>
      <c r="C306" s="2">
        <v>17452</v>
      </c>
      <c r="D306" s="2">
        <v>742</v>
      </c>
      <c r="E306" s="2">
        <v>1103</v>
      </c>
      <c r="F306" s="2">
        <v>364</v>
      </c>
      <c r="G306" s="2">
        <v>812</v>
      </c>
      <c r="H306" s="2">
        <v>451</v>
      </c>
      <c r="I306" s="2">
        <v>41</v>
      </c>
      <c r="J306" s="2">
        <v>137</v>
      </c>
      <c r="K306" s="2">
        <v>40</v>
      </c>
      <c r="L306" s="2">
        <v>32</v>
      </c>
      <c r="M306" s="2">
        <v>36</v>
      </c>
      <c r="N306" s="2">
        <v>51</v>
      </c>
      <c r="O306" s="2">
        <v>15</v>
      </c>
      <c r="P306" s="2">
        <v>33</v>
      </c>
    </row>
    <row r="307" spans="1:16" ht="10.5" customHeight="1">
      <c r="A307" s="4" t="s">
        <v>76</v>
      </c>
      <c r="C307" s="3">
        <v>17452</v>
      </c>
      <c r="D307" s="3">
        <v>742</v>
      </c>
      <c r="E307" s="3">
        <v>1103</v>
      </c>
      <c r="F307" s="3">
        <v>364</v>
      </c>
      <c r="G307" s="3">
        <v>812</v>
      </c>
      <c r="H307" s="3">
        <v>451</v>
      </c>
      <c r="I307" s="3">
        <v>41</v>
      </c>
      <c r="J307" s="3">
        <v>137</v>
      </c>
      <c r="K307" s="3">
        <v>40</v>
      </c>
      <c r="L307" s="3">
        <v>32</v>
      </c>
      <c r="M307" s="3">
        <v>36</v>
      </c>
      <c r="N307" s="3">
        <v>51</v>
      </c>
      <c r="O307" s="3">
        <v>15</v>
      </c>
      <c r="P307" s="3">
        <v>33</v>
      </c>
    </row>
    <row r="308" spans="2:16" s="5" customFormat="1" ht="10.5" customHeight="1">
      <c r="B308" s="7" t="s">
        <v>159</v>
      </c>
      <c r="C308" s="5">
        <f>C307/19297</f>
        <v>0.9043892833082863</v>
      </c>
      <c r="D308" s="5">
        <f>D307/19297</f>
        <v>0.0384515727833342</v>
      </c>
      <c r="E308" s="5">
        <f>E307/19297</f>
        <v>0.05715914390837954</v>
      </c>
      <c r="F308" s="5">
        <f>F307/1805</f>
        <v>0.20166204986149586</v>
      </c>
      <c r="G308" s="5">
        <f>G307/1805</f>
        <v>0.44986149584487534</v>
      </c>
      <c r="H308" s="5">
        <f>H307/1805</f>
        <v>0.24986149584487535</v>
      </c>
      <c r="I308" s="5">
        <f>I307/1805</f>
        <v>0.022714681440443214</v>
      </c>
      <c r="J308" s="5">
        <f>J307/1805</f>
        <v>0.07590027700831024</v>
      </c>
      <c r="K308" s="5">
        <f>K307/108</f>
        <v>0.37037037037037035</v>
      </c>
      <c r="L308" s="5">
        <f>L307/108</f>
        <v>0.2962962962962963</v>
      </c>
      <c r="M308" s="5">
        <f>M307/108</f>
        <v>0.3333333333333333</v>
      </c>
      <c r="N308" s="5">
        <f>N307/51</f>
        <v>1</v>
      </c>
      <c r="O308" s="5">
        <f>O307/15</f>
        <v>1</v>
      </c>
      <c r="P308" s="5">
        <f>P307/33</f>
        <v>1</v>
      </c>
    </row>
    <row r="309" spans="2:16" ht="10.5" customHeight="1"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0.5" customHeight="1">
      <c r="A310" s="4" t="s">
        <v>133</v>
      </c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0.5" customHeight="1">
      <c r="B311" s="6" t="s">
        <v>71</v>
      </c>
      <c r="C311" s="2">
        <v>11884</v>
      </c>
      <c r="D311" s="2">
        <v>795</v>
      </c>
      <c r="E311" s="2">
        <v>2467</v>
      </c>
      <c r="F311" s="2">
        <v>1629</v>
      </c>
      <c r="G311" s="2">
        <v>6205</v>
      </c>
      <c r="H311" s="2">
        <v>2324</v>
      </c>
      <c r="I311" s="2">
        <v>112</v>
      </c>
      <c r="J311" s="2">
        <v>311</v>
      </c>
      <c r="K311" s="2">
        <v>56</v>
      </c>
      <c r="L311" s="2">
        <v>51</v>
      </c>
      <c r="M311" s="2">
        <v>66</v>
      </c>
      <c r="N311" s="2">
        <v>50</v>
      </c>
      <c r="O311" s="2">
        <v>49</v>
      </c>
      <c r="P311" s="2">
        <v>28</v>
      </c>
    </row>
    <row r="312" spans="1:16" ht="10.5" customHeight="1">
      <c r="A312" s="4" t="s">
        <v>76</v>
      </c>
      <c r="C312" s="3">
        <v>11884</v>
      </c>
      <c r="D312" s="3">
        <v>795</v>
      </c>
      <c r="E312" s="3">
        <v>2467</v>
      </c>
      <c r="F312" s="3">
        <v>1629</v>
      </c>
      <c r="G312" s="3">
        <v>6205</v>
      </c>
      <c r="H312" s="3">
        <v>2324</v>
      </c>
      <c r="I312" s="3">
        <v>112</v>
      </c>
      <c r="J312" s="3">
        <v>311</v>
      </c>
      <c r="K312" s="3">
        <v>56</v>
      </c>
      <c r="L312" s="3">
        <v>51</v>
      </c>
      <c r="M312" s="3">
        <v>66</v>
      </c>
      <c r="N312" s="3">
        <v>50</v>
      </c>
      <c r="O312" s="3">
        <v>49</v>
      </c>
      <c r="P312" s="3">
        <v>28</v>
      </c>
    </row>
    <row r="313" spans="2:16" s="5" customFormat="1" ht="10.5" customHeight="1">
      <c r="B313" s="7" t="s">
        <v>159</v>
      </c>
      <c r="C313" s="5">
        <f>C312/15146</f>
        <v>0.7846296051762842</v>
      </c>
      <c r="D313" s="5">
        <f>D312/15146</f>
        <v>0.05248910603459659</v>
      </c>
      <c r="E313" s="5">
        <f>E312/15146</f>
        <v>0.16288128878911923</v>
      </c>
      <c r="F313" s="5">
        <f>F312/10581</f>
        <v>0.15395520272185995</v>
      </c>
      <c r="G313" s="5">
        <f>G312/10581</f>
        <v>0.5864285039221245</v>
      </c>
      <c r="H313" s="5">
        <f>H312/10581</f>
        <v>0.21963897552216236</v>
      </c>
      <c r="I313" s="5">
        <f>I312/10581</f>
        <v>0.010585010868537945</v>
      </c>
      <c r="J313" s="5">
        <f>J312/10581</f>
        <v>0.02939230696531519</v>
      </c>
      <c r="K313" s="5">
        <f>K312/173</f>
        <v>0.3236994219653179</v>
      </c>
      <c r="L313" s="5">
        <f>L312/173</f>
        <v>0.2947976878612717</v>
      </c>
      <c r="M313" s="5">
        <f>M312/173</f>
        <v>0.3815028901734104</v>
      </c>
      <c r="N313" s="5">
        <f>N312/50</f>
        <v>1</v>
      </c>
      <c r="O313" s="5">
        <f>O312/49</f>
        <v>1</v>
      </c>
      <c r="P313" s="5">
        <f>P312/28</f>
        <v>1</v>
      </c>
    </row>
    <row r="314" spans="2:16" ht="10.5" customHeight="1"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0.5" customHeight="1">
      <c r="A315" s="4" t="s">
        <v>134</v>
      </c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0.5" customHeight="1">
      <c r="B316" s="6" t="s">
        <v>71</v>
      </c>
      <c r="C316" s="2">
        <v>11183</v>
      </c>
      <c r="D316" s="2">
        <v>756</v>
      </c>
      <c r="E316" s="2">
        <v>2738</v>
      </c>
      <c r="F316" s="2">
        <v>906</v>
      </c>
      <c r="G316" s="2">
        <v>2972</v>
      </c>
      <c r="H316" s="2">
        <v>857</v>
      </c>
      <c r="I316" s="2">
        <v>89</v>
      </c>
      <c r="J316" s="2">
        <v>348</v>
      </c>
      <c r="K316" s="2">
        <v>48</v>
      </c>
      <c r="L316" s="2">
        <v>39</v>
      </c>
      <c r="M316" s="2">
        <v>49</v>
      </c>
      <c r="N316" s="2">
        <v>37</v>
      </c>
      <c r="O316" s="2">
        <v>34</v>
      </c>
      <c r="P316" s="2">
        <v>21</v>
      </c>
    </row>
    <row r="317" spans="1:16" ht="10.5" customHeight="1">
      <c r="A317" s="4" t="s">
        <v>76</v>
      </c>
      <c r="C317" s="3">
        <v>11183</v>
      </c>
      <c r="D317" s="3">
        <v>756</v>
      </c>
      <c r="E317" s="3">
        <v>2738</v>
      </c>
      <c r="F317" s="3">
        <v>906</v>
      </c>
      <c r="G317" s="3">
        <v>2972</v>
      </c>
      <c r="H317" s="3">
        <v>857</v>
      </c>
      <c r="I317" s="3">
        <v>89</v>
      </c>
      <c r="J317" s="3">
        <v>348</v>
      </c>
      <c r="K317" s="3">
        <v>48</v>
      </c>
      <c r="L317" s="3">
        <v>39</v>
      </c>
      <c r="M317" s="3">
        <v>49</v>
      </c>
      <c r="N317" s="3">
        <v>37</v>
      </c>
      <c r="O317" s="3">
        <v>34</v>
      </c>
      <c r="P317" s="3">
        <v>21</v>
      </c>
    </row>
    <row r="318" spans="2:16" s="5" customFormat="1" ht="10.5" customHeight="1">
      <c r="B318" s="7" t="s">
        <v>159</v>
      </c>
      <c r="C318" s="5">
        <f>C317/14677</f>
        <v>0.7619404510458541</v>
      </c>
      <c r="D318" s="5">
        <f>D317/14677</f>
        <v>0.05150916399809225</v>
      </c>
      <c r="E318" s="5">
        <f>E317/14677</f>
        <v>0.1865503849560537</v>
      </c>
      <c r="F318" s="5">
        <f>F317/5172</f>
        <v>0.1751740139211137</v>
      </c>
      <c r="G318" s="5">
        <f>G317/5172</f>
        <v>0.5746326372776489</v>
      </c>
      <c r="H318" s="5">
        <f>H317/5172</f>
        <v>0.1656999226604795</v>
      </c>
      <c r="I318" s="5">
        <f>I317/5172</f>
        <v>0.01720804331013148</v>
      </c>
      <c r="J318" s="5">
        <f>J317/5172</f>
        <v>0.06728538283062645</v>
      </c>
      <c r="K318" s="5">
        <f>K317/136</f>
        <v>0.35294117647058826</v>
      </c>
      <c r="L318" s="5">
        <f>L317/136</f>
        <v>0.2867647058823529</v>
      </c>
      <c r="M318" s="5">
        <f>M317/136</f>
        <v>0.3602941176470588</v>
      </c>
      <c r="N318" s="5">
        <f>N317/37</f>
        <v>1</v>
      </c>
      <c r="O318" s="5">
        <f>O317/34</f>
        <v>1</v>
      </c>
      <c r="P318" s="5">
        <f>P317/21</f>
        <v>1</v>
      </c>
    </row>
    <row r="319" spans="2:16" ht="10.5" customHeight="1"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0.5" customHeight="1">
      <c r="A320" s="4" t="s">
        <v>135</v>
      </c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0.5" customHeight="1">
      <c r="B321" s="6" t="s">
        <v>71</v>
      </c>
      <c r="C321" s="2">
        <v>22060</v>
      </c>
      <c r="D321" s="2">
        <v>1196</v>
      </c>
      <c r="E321" s="2">
        <v>2155</v>
      </c>
      <c r="F321" s="2">
        <v>1421</v>
      </c>
      <c r="G321" s="2">
        <v>4826</v>
      </c>
      <c r="H321" s="2">
        <v>1414</v>
      </c>
      <c r="I321" s="2">
        <v>102</v>
      </c>
      <c r="J321" s="2">
        <v>296</v>
      </c>
      <c r="K321" s="2">
        <v>80</v>
      </c>
      <c r="L321" s="2">
        <v>71</v>
      </c>
      <c r="M321" s="2">
        <v>61</v>
      </c>
      <c r="N321" s="2">
        <v>64</v>
      </c>
      <c r="O321" s="2">
        <v>60</v>
      </c>
      <c r="P321" s="2">
        <v>29</v>
      </c>
    </row>
    <row r="322" spans="1:16" ht="10.5" customHeight="1">
      <c r="A322" s="4" t="s">
        <v>76</v>
      </c>
      <c r="C322" s="3">
        <v>22060</v>
      </c>
      <c r="D322" s="3">
        <v>1196</v>
      </c>
      <c r="E322" s="3">
        <v>2155</v>
      </c>
      <c r="F322" s="3">
        <v>1421</v>
      </c>
      <c r="G322" s="3">
        <v>4826</v>
      </c>
      <c r="H322" s="3">
        <v>1414</v>
      </c>
      <c r="I322" s="3">
        <v>102</v>
      </c>
      <c r="J322" s="3">
        <v>296</v>
      </c>
      <c r="K322" s="3">
        <v>80</v>
      </c>
      <c r="L322" s="3">
        <v>71</v>
      </c>
      <c r="M322" s="3">
        <v>61</v>
      </c>
      <c r="N322" s="3">
        <v>64</v>
      </c>
      <c r="O322" s="3">
        <v>60</v>
      </c>
      <c r="P322" s="3">
        <v>29</v>
      </c>
    </row>
    <row r="323" spans="2:16" s="5" customFormat="1" ht="10.5" customHeight="1">
      <c r="B323" s="7" t="s">
        <v>159</v>
      </c>
      <c r="C323" s="5">
        <f>C322/25411</f>
        <v>0.868127976073354</v>
      </c>
      <c r="D323" s="5">
        <f>D322/25411</f>
        <v>0.047066231159733976</v>
      </c>
      <c r="E323" s="5">
        <f>E322/25411</f>
        <v>0.08480579276691197</v>
      </c>
      <c r="F323" s="5">
        <f>F322/8059</f>
        <v>0.17632460603052488</v>
      </c>
      <c r="G323" s="5">
        <f>G322/8059</f>
        <v>0.5988336021838938</v>
      </c>
      <c r="H323" s="5">
        <f>H322/8059</f>
        <v>0.1754560119121479</v>
      </c>
      <c r="I323" s="5">
        <f>I322/8059</f>
        <v>0.012656657153492989</v>
      </c>
      <c r="J323" s="5">
        <f>J322/8059</f>
        <v>0.03672912271994044</v>
      </c>
      <c r="K323" s="5">
        <f>K322/212</f>
        <v>0.37735849056603776</v>
      </c>
      <c r="L323" s="5">
        <f>L322/212</f>
        <v>0.33490566037735847</v>
      </c>
      <c r="M323" s="5">
        <f>M322/212</f>
        <v>0.28773584905660377</v>
      </c>
      <c r="N323" s="5">
        <f>N322/64</f>
        <v>1</v>
      </c>
      <c r="O323" s="5">
        <f>O322/60</f>
        <v>1</v>
      </c>
      <c r="P323" s="5">
        <f>P322/29</f>
        <v>1</v>
      </c>
    </row>
    <row r="324" spans="2:16" ht="10.5" customHeight="1"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0.5" customHeight="1">
      <c r="A325" s="4" t="s">
        <v>136</v>
      </c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0.5" customHeight="1">
      <c r="B326" s="6" t="s">
        <v>71</v>
      </c>
      <c r="C326" s="2">
        <v>13273</v>
      </c>
      <c r="D326" s="2">
        <v>418</v>
      </c>
      <c r="E326" s="2">
        <v>1502</v>
      </c>
      <c r="F326" s="2">
        <v>273</v>
      </c>
      <c r="G326" s="2">
        <v>812</v>
      </c>
      <c r="H326" s="2">
        <v>297</v>
      </c>
      <c r="I326" s="2">
        <v>23</v>
      </c>
      <c r="J326" s="2">
        <v>149</v>
      </c>
      <c r="K326" s="2">
        <v>38</v>
      </c>
      <c r="L326" s="2">
        <v>36</v>
      </c>
      <c r="M326" s="2">
        <v>27</v>
      </c>
      <c r="N326" s="2">
        <v>17</v>
      </c>
      <c r="O326" s="2">
        <v>14</v>
      </c>
      <c r="P326" s="2">
        <v>17</v>
      </c>
    </row>
    <row r="327" spans="1:16" ht="10.5" customHeight="1">
      <c r="A327" s="4" t="s">
        <v>76</v>
      </c>
      <c r="C327" s="3">
        <v>13273</v>
      </c>
      <c r="D327" s="3">
        <v>418</v>
      </c>
      <c r="E327" s="3">
        <v>1502</v>
      </c>
      <c r="F327" s="3">
        <v>273</v>
      </c>
      <c r="G327" s="3">
        <v>812</v>
      </c>
      <c r="H327" s="3">
        <v>297</v>
      </c>
      <c r="I327" s="3">
        <v>23</v>
      </c>
      <c r="J327" s="3">
        <v>149</v>
      </c>
      <c r="K327" s="3">
        <v>38</v>
      </c>
      <c r="L327" s="3">
        <v>36</v>
      </c>
      <c r="M327" s="3">
        <v>27</v>
      </c>
      <c r="N327" s="3">
        <v>17</v>
      </c>
      <c r="O327" s="3">
        <v>14</v>
      </c>
      <c r="P327" s="3">
        <v>17</v>
      </c>
    </row>
    <row r="328" spans="2:16" s="5" customFormat="1" ht="10.5" customHeight="1">
      <c r="B328" s="7" t="s">
        <v>159</v>
      </c>
      <c r="C328" s="5">
        <f>C327/15193</f>
        <v>0.873626011979201</v>
      </c>
      <c r="D328" s="5">
        <f>D327/15193</f>
        <v>0.027512670308694795</v>
      </c>
      <c r="E328" s="5">
        <f>E327/15193</f>
        <v>0.09886131771210425</v>
      </c>
      <c r="F328" s="5">
        <f>F327/1554</f>
        <v>0.17567567567567569</v>
      </c>
      <c r="G328" s="5">
        <f>G327/1554</f>
        <v>0.5225225225225225</v>
      </c>
      <c r="H328" s="5">
        <f>H327/1554</f>
        <v>0.19111969111969113</v>
      </c>
      <c r="I328" s="5">
        <f>I327/1554</f>
        <v>0.014800514800514801</v>
      </c>
      <c r="J328" s="5">
        <f>J327/1554</f>
        <v>0.09588159588159588</v>
      </c>
      <c r="K328" s="5">
        <f>K327/101</f>
        <v>0.37623762376237624</v>
      </c>
      <c r="L328" s="5">
        <f>L327/101</f>
        <v>0.3564356435643564</v>
      </c>
      <c r="M328" s="5">
        <f>M327/101</f>
        <v>0.26732673267326734</v>
      </c>
      <c r="N328" s="5">
        <f>N327/17</f>
        <v>1</v>
      </c>
      <c r="O328" s="5">
        <f>O327/14</f>
        <v>1</v>
      </c>
      <c r="P328" s="5">
        <f>P327/17</f>
        <v>1</v>
      </c>
    </row>
    <row r="329" spans="2:16" ht="10.5" customHeight="1"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0.5" customHeight="1">
      <c r="A330" s="4" t="s">
        <v>137</v>
      </c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0.5" customHeight="1">
      <c r="B331" s="6" t="s">
        <v>71</v>
      </c>
      <c r="C331" s="2">
        <v>29114</v>
      </c>
      <c r="D331" s="2">
        <v>2073</v>
      </c>
      <c r="E331" s="2">
        <v>4615</v>
      </c>
      <c r="F331" s="2">
        <v>6722</v>
      </c>
      <c r="G331" s="2">
        <v>19104</v>
      </c>
      <c r="H331" s="2">
        <v>5968</v>
      </c>
      <c r="I331" s="2">
        <v>315</v>
      </c>
      <c r="J331" s="2">
        <v>407</v>
      </c>
      <c r="K331" s="2">
        <v>126</v>
      </c>
      <c r="L331" s="2">
        <v>157</v>
      </c>
      <c r="M331" s="2">
        <v>150</v>
      </c>
      <c r="N331" s="2">
        <v>238</v>
      </c>
      <c r="O331" s="2">
        <v>262</v>
      </c>
      <c r="P331" s="2">
        <v>65</v>
      </c>
    </row>
    <row r="332" spans="1:16" ht="10.5" customHeight="1">
      <c r="A332" s="4" t="s">
        <v>76</v>
      </c>
      <c r="C332" s="3">
        <v>29114</v>
      </c>
      <c r="D332" s="3">
        <v>2073</v>
      </c>
      <c r="E332" s="3">
        <v>4615</v>
      </c>
      <c r="F332" s="3">
        <v>6722</v>
      </c>
      <c r="G332" s="3">
        <v>19104</v>
      </c>
      <c r="H332" s="3">
        <v>5968</v>
      </c>
      <c r="I332" s="3">
        <v>315</v>
      </c>
      <c r="J332" s="3">
        <v>407</v>
      </c>
      <c r="K332" s="3">
        <v>126</v>
      </c>
      <c r="L332" s="3">
        <v>157</v>
      </c>
      <c r="M332" s="3">
        <v>150</v>
      </c>
      <c r="N332" s="3">
        <v>238</v>
      </c>
      <c r="O332" s="3">
        <v>262</v>
      </c>
      <c r="P332" s="3">
        <v>65</v>
      </c>
    </row>
    <row r="333" spans="2:16" s="5" customFormat="1" ht="10.5" customHeight="1">
      <c r="B333" s="7" t="s">
        <v>159</v>
      </c>
      <c r="C333" s="5">
        <f>C332/35802</f>
        <v>0.8131947935869505</v>
      </c>
      <c r="D333" s="5">
        <f>D332/35802</f>
        <v>0.05790179319591084</v>
      </c>
      <c r="E333" s="5">
        <f>E332/35802</f>
        <v>0.12890341321713872</v>
      </c>
      <c r="F333" s="5">
        <f>F332/32516</f>
        <v>0.20672899495632918</v>
      </c>
      <c r="G333" s="5">
        <f>G332/32516</f>
        <v>0.5875261409767499</v>
      </c>
      <c r="H333" s="5">
        <f>H332/32516</f>
        <v>0.18354041087464631</v>
      </c>
      <c r="I333" s="5">
        <f>I332/32516</f>
        <v>0.009687538442612867</v>
      </c>
      <c r="J333" s="5">
        <f>J332/32516</f>
        <v>0.012516914749661705</v>
      </c>
      <c r="K333" s="5">
        <f>K332/433</f>
        <v>0.2909930715935335</v>
      </c>
      <c r="L333" s="5">
        <f>L332/433</f>
        <v>0.3625866050808314</v>
      </c>
      <c r="M333" s="5">
        <f>M332/433</f>
        <v>0.3464203233256351</v>
      </c>
      <c r="N333" s="5">
        <f>N332/238</f>
        <v>1</v>
      </c>
      <c r="O333" s="5">
        <f>O332/262</f>
        <v>1</v>
      </c>
      <c r="P333" s="5">
        <f>P332/65</f>
        <v>1</v>
      </c>
    </row>
    <row r="334" spans="2:16" ht="10.5" customHeight="1"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0.5" customHeight="1">
      <c r="A335" s="4" t="s">
        <v>138</v>
      </c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0.5" customHeight="1">
      <c r="B336" s="6" t="s">
        <v>71</v>
      </c>
      <c r="C336" s="2">
        <v>23650</v>
      </c>
      <c r="D336" s="2">
        <v>2131</v>
      </c>
      <c r="E336" s="2">
        <v>3738</v>
      </c>
      <c r="F336" s="2">
        <v>5296</v>
      </c>
      <c r="G336" s="2">
        <v>19395</v>
      </c>
      <c r="H336" s="2">
        <v>6008</v>
      </c>
      <c r="I336" s="2">
        <v>304</v>
      </c>
      <c r="J336" s="2">
        <v>356</v>
      </c>
      <c r="K336" s="2">
        <v>154</v>
      </c>
      <c r="L336" s="2">
        <v>137</v>
      </c>
      <c r="M336" s="2">
        <v>140</v>
      </c>
      <c r="N336" s="2">
        <v>258</v>
      </c>
      <c r="O336" s="2">
        <v>234</v>
      </c>
      <c r="P336" s="2">
        <v>50</v>
      </c>
    </row>
    <row r="337" spans="1:16" ht="10.5" customHeight="1">
      <c r="A337" s="4" t="s">
        <v>76</v>
      </c>
      <c r="C337" s="3">
        <v>23650</v>
      </c>
      <c r="D337" s="3">
        <v>2131</v>
      </c>
      <c r="E337" s="3">
        <v>3738</v>
      </c>
      <c r="F337" s="3">
        <v>5296</v>
      </c>
      <c r="G337" s="3">
        <v>19395</v>
      </c>
      <c r="H337" s="3">
        <v>6008</v>
      </c>
      <c r="I337" s="3">
        <v>304</v>
      </c>
      <c r="J337" s="3">
        <v>356</v>
      </c>
      <c r="K337" s="3">
        <v>154</v>
      </c>
      <c r="L337" s="3">
        <v>137</v>
      </c>
      <c r="M337" s="3">
        <v>140</v>
      </c>
      <c r="N337" s="3">
        <v>258</v>
      </c>
      <c r="O337" s="3">
        <v>234</v>
      </c>
      <c r="P337" s="3">
        <v>50</v>
      </c>
    </row>
    <row r="338" spans="2:16" s="5" customFormat="1" ht="10.5" customHeight="1">
      <c r="B338" s="7" t="s">
        <v>159</v>
      </c>
      <c r="C338" s="5">
        <f>C337/29519</f>
        <v>0.8011789017243132</v>
      </c>
      <c r="D338" s="5">
        <f>D337/29519</f>
        <v>0.07219079237101528</v>
      </c>
      <c r="E338" s="5">
        <f>E337/29519</f>
        <v>0.12663030590467156</v>
      </c>
      <c r="F338" s="5">
        <f>F337/31359</f>
        <v>0.1688829363181224</v>
      </c>
      <c r="G338" s="5">
        <f>G337/31359</f>
        <v>0.6184827322299818</v>
      </c>
      <c r="H338" s="5">
        <f>H337/31359</f>
        <v>0.19158774195605727</v>
      </c>
      <c r="I338" s="5">
        <f>I337/31359</f>
        <v>0.009694186676871074</v>
      </c>
      <c r="J338" s="5">
        <f>J337/31359</f>
        <v>0.011352402818967442</v>
      </c>
      <c r="K338" s="5">
        <f>K337/431</f>
        <v>0.35730858468677495</v>
      </c>
      <c r="L338" s="5">
        <f>L337/431</f>
        <v>0.31786542923433875</v>
      </c>
      <c r="M338" s="5">
        <f>M337/431</f>
        <v>0.3248259860788863</v>
      </c>
      <c r="N338" s="5">
        <f>N337/258</f>
        <v>1</v>
      </c>
      <c r="O338" s="5">
        <f>O337/234</f>
        <v>1</v>
      </c>
      <c r="P338" s="5">
        <f>P337/50</f>
        <v>1</v>
      </c>
    </row>
    <row r="339" spans="2:16" ht="10.5" customHeight="1"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0.5" customHeight="1">
      <c r="A340" s="4" t="s">
        <v>139</v>
      </c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0.5" customHeight="1">
      <c r="B341" s="6" t="s">
        <v>71</v>
      </c>
      <c r="C341" s="2">
        <v>17908</v>
      </c>
      <c r="D341" s="2">
        <v>1192</v>
      </c>
      <c r="E341" s="2">
        <v>3263</v>
      </c>
      <c r="F341" s="2">
        <v>2370</v>
      </c>
      <c r="G341" s="2">
        <v>7488</v>
      </c>
      <c r="H341" s="2">
        <v>2059</v>
      </c>
      <c r="I341" s="2">
        <v>206</v>
      </c>
      <c r="J341" s="2">
        <v>354</v>
      </c>
      <c r="K341" s="2">
        <v>86</v>
      </c>
      <c r="L341" s="2">
        <v>107</v>
      </c>
      <c r="M341" s="2">
        <v>86</v>
      </c>
      <c r="N341" s="2">
        <v>71</v>
      </c>
      <c r="O341" s="2">
        <v>79</v>
      </c>
      <c r="P341" s="2">
        <v>26</v>
      </c>
    </row>
    <row r="342" spans="1:16" ht="10.5" customHeight="1">
      <c r="A342" s="4" t="s">
        <v>76</v>
      </c>
      <c r="C342" s="3">
        <v>17908</v>
      </c>
      <c r="D342" s="3">
        <v>1192</v>
      </c>
      <c r="E342" s="3">
        <v>3263</v>
      </c>
      <c r="F342" s="3">
        <v>2370</v>
      </c>
      <c r="G342" s="3">
        <v>7488</v>
      </c>
      <c r="H342" s="3">
        <v>2059</v>
      </c>
      <c r="I342" s="3">
        <v>206</v>
      </c>
      <c r="J342" s="3">
        <v>354</v>
      </c>
      <c r="K342" s="3">
        <v>86</v>
      </c>
      <c r="L342" s="3">
        <v>107</v>
      </c>
      <c r="M342" s="3">
        <v>86</v>
      </c>
      <c r="N342" s="3">
        <v>71</v>
      </c>
      <c r="O342" s="3">
        <v>79</v>
      </c>
      <c r="P342" s="3">
        <v>26</v>
      </c>
    </row>
    <row r="343" spans="2:16" s="5" customFormat="1" ht="10.5" customHeight="1">
      <c r="B343" s="7" t="s">
        <v>159</v>
      </c>
      <c r="C343" s="5">
        <f>C342/22363</f>
        <v>0.8007870142646335</v>
      </c>
      <c r="D343" s="5">
        <f>D342/22363</f>
        <v>0.05330232974109019</v>
      </c>
      <c r="E343" s="5">
        <f>E342/22363</f>
        <v>0.14591065599427627</v>
      </c>
      <c r="F343" s="5">
        <f>F342/12477</f>
        <v>0.18994950709305122</v>
      </c>
      <c r="G343" s="5">
        <f>G342/12477</f>
        <v>0.6001442654484251</v>
      </c>
      <c r="H343" s="5">
        <f>H342/12477</f>
        <v>0.16502364350404744</v>
      </c>
      <c r="I343" s="5">
        <f>I342/12477</f>
        <v>0.01651037909753947</v>
      </c>
      <c r="J343" s="5">
        <f>J342/12477</f>
        <v>0.028372204856936763</v>
      </c>
      <c r="K343" s="5">
        <f>K342/279</f>
        <v>0.30824372759856633</v>
      </c>
      <c r="L343" s="5">
        <f>L342/279</f>
        <v>0.3835125448028674</v>
      </c>
      <c r="M343" s="5">
        <f>M342/279</f>
        <v>0.30824372759856633</v>
      </c>
      <c r="N343" s="5">
        <f>N342/71</f>
        <v>1</v>
      </c>
      <c r="O343" s="5">
        <f>O342/79</f>
        <v>1</v>
      </c>
      <c r="P343" s="5">
        <f>P342/26</f>
        <v>1</v>
      </c>
    </row>
    <row r="344" spans="2:16" ht="10.5" customHeight="1"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0.5" customHeight="1">
      <c r="A345" s="4" t="s">
        <v>140</v>
      </c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0.5" customHeight="1">
      <c r="B346" s="6" t="s">
        <v>71</v>
      </c>
      <c r="C346" s="2">
        <v>10059</v>
      </c>
      <c r="D346" s="2">
        <v>978</v>
      </c>
      <c r="E346" s="2">
        <v>3073</v>
      </c>
      <c r="F346" s="2">
        <v>2044</v>
      </c>
      <c r="G346" s="2">
        <v>6545</v>
      </c>
      <c r="H346" s="2">
        <v>1672</v>
      </c>
      <c r="I346" s="2">
        <v>106</v>
      </c>
      <c r="J346" s="2">
        <v>304</v>
      </c>
      <c r="K346" s="2">
        <v>55</v>
      </c>
      <c r="L346" s="2">
        <v>56</v>
      </c>
      <c r="M346" s="2">
        <v>69</v>
      </c>
      <c r="N346" s="2">
        <v>48</v>
      </c>
      <c r="O346" s="2">
        <v>52</v>
      </c>
      <c r="P346" s="2">
        <v>24</v>
      </c>
    </row>
    <row r="347" spans="2:16" ht="10.5" customHeight="1">
      <c r="B347" s="6" t="s">
        <v>72</v>
      </c>
      <c r="C347" s="2">
        <v>2349</v>
      </c>
      <c r="D347" s="2">
        <v>318</v>
      </c>
      <c r="E347" s="2">
        <v>823</v>
      </c>
      <c r="F347" s="2">
        <v>1225</v>
      </c>
      <c r="G347" s="2">
        <v>2502</v>
      </c>
      <c r="H347" s="2">
        <v>714</v>
      </c>
      <c r="I347" s="2">
        <v>33</v>
      </c>
      <c r="J347" s="2">
        <v>99</v>
      </c>
      <c r="K347" s="2">
        <v>31</v>
      </c>
      <c r="L347" s="2">
        <v>29</v>
      </c>
      <c r="M347" s="2">
        <v>27</v>
      </c>
      <c r="N347" s="2">
        <v>13</v>
      </c>
      <c r="O347" s="2">
        <v>25</v>
      </c>
      <c r="P347" s="2">
        <v>6</v>
      </c>
    </row>
    <row r="348" spans="1:16" ht="10.5" customHeight="1">
      <c r="A348" s="4" t="s">
        <v>76</v>
      </c>
      <c r="C348" s="3">
        <v>12408</v>
      </c>
      <c r="D348" s="3">
        <v>1296</v>
      </c>
      <c r="E348" s="3">
        <v>3896</v>
      </c>
      <c r="F348" s="3">
        <v>3269</v>
      </c>
      <c r="G348" s="3">
        <v>9047</v>
      </c>
      <c r="H348" s="3">
        <v>2386</v>
      </c>
      <c r="I348" s="3">
        <v>139</v>
      </c>
      <c r="J348" s="3">
        <v>403</v>
      </c>
      <c r="K348" s="3">
        <v>86</v>
      </c>
      <c r="L348" s="3">
        <v>85</v>
      </c>
      <c r="M348" s="3">
        <v>96</v>
      </c>
      <c r="N348" s="3">
        <v>61</v>
      </c>
      <c r="O348" s="3">
        <v>77</v>
      </c>
      <c r="P348" s="3">
        <v>30</v>
      </c>
    </row>
    <row r="349" spans="2:16" s="5" customFormat="1" ht="10.5" customHeight="1">
      <c r="B349" s="7" t="s">
        <v>159</v>
      </c>
      <c r="C349" s="5">
        <f>C348/17600</f>
        <v>0.705</v>
      </c>
      <c r="D349" s="5">
        <f>D348/17600</f>
        <v>0.07363636363636364</v>
      </c>
      <c r="E349" s="5">
        <f>E348/17600</f>
        <v>0.22136363636363637</v>
      </c>
      <c r="F349" s="5">
        <f>F348/15244</f>
        <v>0.21444502755182368</v>
      </c>
      <c r="G349" s="5">
        <f>G348/15244</f>
        <v>0.5934794017318289</v>
      </c>
      <c r="H349" s="5">
        <f>H348/15244</f>
        <v>0.15652059826817108</v>
      </c>
      <c r="I349" s="5">
        <f>I348/15244</f>
        <v>0.009118341642613487</v>
      </c>
      <c r="J349" s="5">
        <f>J348/15244</f>
        <v>0.026436630805562845</v>
      </c>
      <c r="K349" s="5">
        <f>K348/267</f>
        <v>0.32209737827715357</v>
      </c>
      <c r="L349" s="5">
        <f>L348/267</f>
        <v>0.31835205992509363</v>
      </c>
      <c r="M349" s="5">
        <f>M348/267</f>
        <v>0.3595505617977528</v>
      </c>
      <c r="N349" s="5">
        <f>N348/61</f>
        <v>1</v>
      </c>
      <c r="O349" s="5">
        <f>O348/77</f>
        <v>1</v>
      </c>
      <c r="P349" s="5">
        <f>P348/30</f>
        <v>1</v>
      </c>
    </row>
    <row r="350" spans="2:16" ht="10.5" customHeight="1"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0.5" customHeight="1">
      <c r="A351" s="4" t="s">
        <v>141</v>
      </c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0.5" customHeight="1">
      <c r="B352" s="6" t="s">
        <v>71</v>
      </c>
      <c r="C352" s="2">
        <v>12330</v>
      </c>
      <c r="D352" s="2">
        <v>1319</v>
      </c>
      <c r="E352" s="2">
        <v>3172</v>
      </c>
      <c r="F352" s="2">
        <v>2118</v>
      </c>
      <c r="G352" s="2">
        <v>7049</v>
      </c>
      <c r="H352" s="2">
        <v>2113</v>
      </c>
      <c r="I352" s="2">
        <v>117</v>
      </c>
      <c r="J352" s="2">
        <v>455</v>
      </c>
      <c r="K352" s="2">
        <v>77</v>
      </c>
      <c r="L352" s="2">
        <v>89</v>
      </c>
      <c r="M352" s="2">
        <v>75</v>
      </c>
      <c r="N352" s="2">
        <v>46</v>
      </c>
      <c r="O352" s="2">
        <v>43</v>
      </c>
      <c r="P352" s="2">
        <v>34</v>
      </c>
    </row>
    <row r="353" spans="1:16" ht="10.5" customHeight="1">
      <c r="A353" s="4" t="s">
        <v>76</v>
      </c>
      <c r="C353" s="3">
        <v>12330</v>
      </c>
      <c r="D353" s="3">
        <v>1319</v>
      </c>
      <c r="E353" s="3">
        <v>3172</v>
      </c>
      <c r="F353" s="3">
        <v>2118</v>
      </c>
      <c r="G353" s="3">
        <v>7049</v>
      </c>
      <c r="H353" s="3">
        <v>2113</v>
      </c>
      <c r="I353" s="3">
        <v>117</v>
      </c>
      <c r="J353" s="3">
        <v>455</v>
      </c>
      <c r="K353" s="3">
        <v>77</v>
      </c>
      <c r="L353" s="3">
        <v>89</v>
      </c>
      <c r="M353" s="3">
        <v>75</v>
      </c>
      <c r="N353" s="3">
        <v>46</v>
      </c>
      <c r="O353" s="3">
        <v>43</v>
      </c>
      <c r="P353" s="3">
        <v>34</v>
      </c>
    </row>
    <row r="354" spans="2:16" s="5" customFormat="1" ht="10.5" customHeight="1">
      <c r="B354" s="7" t="s">
        <v>159</v>
      </c>
      <c r="C354" s="5">
        <f>C353/16821</f>
        <v>0.7330123060460139</v>
      </c>
      <c r="D354" s="5">
        <f>D353/16821</f>
        <v>0.07841388740265144</v>
      </c>
      <c r="E354" s="5">
        <f>E353/16821</f>
        <v>0.18857380655133466</v>
      </c>
      <c r="F354" s="5">
        <f>F353/11852</f>
        <v>0.1787040161997975</v>
      </c>
      <c r="G354" s="5">
        <f>G353/11852</f>
        <v>0.5947519406007425</v>
      </c>
      <c r="H354" s="5">
        <f>H353/11852</f>
        <v>0.1782821464731691</v>
      </c>
      <c r="I354" s="5">
        <f>I353/11852</f>
        <v>0.009871751603104962</v>
      </c>
      <c r="J354" s="5">
        <f>J353/11852</f>
        <v>0.03839014512318596</v>
      </c>
      <c r="K354" s="5">
        <f>K353/241</f>
        <v>0.31950207468879666</v>
      </c>
      <c r="L354" s="5">
        <f>L353/241</f>
        <v>0.36929460580912865</v>
      </c>
      <c r="M354" s="5">
        <f>M353/241</f>
        <v>0.3112033195020747</v>
      </c>
      <c r="N354" s="5">
        <f>N353/46</f>
        <v>1</v>
      </c>
      <c r="O354" s="5">
        <f>O353/43</f>
        <v>1</v>
      </c>
      <c r="P354" s="5">
        <f>P353/34</f>
        <v>1</v>
      </c>
    </row>
    <row r="355" spans="2:16" ht="10.5" customHeight="1"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0.5" customHeight="1">
      <c r="A356" s="4" t="s">
        <v>142</v>
      </c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0.5" customHeight="1">
      <c r="B357" s="6" t="s">
        <v>71</v>
      </c>
      <c r="C357" s="2">
        <v>14251</v>
      </c>
      <c r="D357" s="2">
        <v>1078</v>
      </c>
      <c r="E357" s="2">
        <v>3413</v>
      </c>
      <c r="F357" s="2">
        <v>2377</v>
      </c>
      <c r="G357" s="2">
        <v>8212</v>
      </c>
      <c r="H357" s="2">
        <v>2325</v>
      </c>
      <c r="I357" s="2">
        <v>203</v>
      </c>
      <c r="J357" s="2">
        <v>507</v>
      </c>
      <c r="K357" s="2">
        <v>86</v>
      </c>
      <c r="L357" s="2">
        <v>77</v>
      </c>
      <c r="M357" s="2">
        <v>81</v>
      </c>
      <c r="N357" s="2">
        <v>56</v>
      </c>
      <c r="O357" s="2">
        <v>62</v>
      </c>
      <c r="P357" s="2">
        <v>36</v>
      </c>
    </row>
    <row r="358" spans="1:16" ht="10.5" customHeight="1">
      <c r="A358" s="4" t="s">
        <v>76</v>
      </c>
      <c r="C358" s="3">
        <v>14251</v>
      </c>
      <c r="D358" s="3">
        <v>1078</v>
      </c>
      <c r="E358" s="3">
        <v>3413</v>
      </c>
      <c r="F358" s="3">
        <v>2377</v>
      </c>
      <c r="G358" s="3">
        <v>8212</v>
      </c>
      <c r="H358" s="3">
        <v>2325</v>
      </c>
      <c r="I358" s="3">
        <v>203</v>
      </c>
      <c r="J358" s="3">
        <v>507</v>
      </c>
      <c r="K358" s="3">
        <v>86</v>
      </c>
      <c r="L358" s="3">
        <v>77</v>
      </c>
      <c r="M358" s="3">
        <v>81</v>
      </c>
      <c r="N358" s="3">
        <v>56</v>
      </c>
      <c r="O358" s="3">
        <v>62</v>
      </c>
      <c r="P358" s="3">
        <v>36</v>
      </c>
    </row>
    <row r="359" spans="2:16" s="5" customFormat="1" ht="10.5" customHeight="1">
      <c r="B359" s="7" t="s">
        <v>159</v>
      </c>
      <c r="C359" s="5">
        <f>C358/18742</f>
        <v>0.7603777611781026</v>
      </c>
      <c r="D359" s="5">
        <f>D358/18742</f>
        <v>0.05751787429303169</v>
      </c>
      <c r="E359" s="5">
        <f>E358/18742</f>
        <v>0.18210436452886564</v>
      </c>
      <c r="F359" s="5">
        <f>F358/13624</f>
        <v>0.17447152084556664</v>
      </c>
      <c r="G359" s="5">
        <f>G358/13624</f>
        <v>0.602759835584263</v>
      </c>
      <c r="H359" s="5">
        <f>H358/13624</f>
        <v>0.17065472695243689</v>
      </c>
      <c r="I359" s="5">
        <f>I358/13624</f>
        <v>0.014900176159718144</v>
      </c>
      <c r="J359" s="5">
        <f>J358/13624</f>
        <v>0.03721374045801527</v>
      </c>
      <c r="K359" s="5">
        <f>K358/244</f>
        <v>0.3524590163934426</v>
      </c>
      <c r="L359" s="5">
        <f>L358/244</f>
        <v>0.3155737704918033</v>
      </c>
      <c r="M359" s="5">
        <f>M358/244</f>
        <v>0.3319672131147541</v>
      </c>
      <c r="N359" s="5">
        <f>N358/56</f>
        <v>1</v>
      </c>
      <c r="O359" s="5">
        <f>O358/62</f>
        <v>1</v>
      </c>
      <c r="P359" s="5">
        <f>P358/36</f>
        <v>1</v>
      </c>
    </row>
    <row r="360" spans="2:16" ht="10.5" customHeight="1"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0.5" customHeight="1">
      <c r="A361" s="4" t="s">
        <v>143</v>
      </c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0.5" customHeight="1">
      <c r="B362" s="6" t="s">
        <v>71</v>
      </c>
      <c r="C362" s="2">
        <v>10352</v>
      </c>
      <c r="D362" s="2">
        <v>900</v>
      </c>
      <c r="E362" s="2">
        <v>2117</v>
      </c>
      <c r="F362" s="2">
        <v>4156</v>
      </c>
      <c r="G362" s="2">
        <v>13708</v>
      </c>
      <c r="H362" s="2">
        <v>3887</v>
      </c>
      <c r="I362" s="2">
        <v>213</v>
      </c>
      <c r="J362" s="2">
        <v>275</v>
      </c>
      <c r="K362" s="2">
        <v>78</v>
      </c>
      <c r="L362" s="2">
        <v>90</v>
      </c>
      <c r="M362" s="2">
        <v>79</v>
      </c>
      <c r="N362" s="2">
        <v>100</v>
      </c>
      <c r="O362" s="2">
        <v>126</v>
      </c>
      <c r="P362" s="2">
        <v>29</v>
      </c>
    </row>
    <row r="363" spans="2:16" ht="10.5" customHeight="1">
      <c r="B363" s="6" t="s">
        <v>66</v>
      </c>
      <c r="C363" s="2">
        <v>7085</v>
      </c>
      <c r="D363" s="2">
        <v>1217</v>
      </c>
      <c r="E363" s="2">
        <v>2664</v>
      </c>
      <c r="F363" s="2">
        <v>4508</v>
      </c>
      <c r="G363" s="2">
        <v>14470</v>
      </c>
      <c r="H363" s="2">
        <v>3466</v>
      </c>
      <c r="I363" s="2">
        <v>125</v>
      </c>
      <c r="J363" s="2">
        <v>295</v>
      </c>
      <c r="K363" s="2">
        <v>222</v>
      </c>
      <c r="L363" s="2">
        <v>208</v>
      </c>
      <c r="M363" s="2">
        <v>102</v>
      </c>
      <c r="N363" s="2">
        <v>60</v>
      </c>
      <c r="O363" s="2">
        <v>150</v>
      </c>
      <c r="P363" s="2">
        <v>26</v>
      </c>
    </row>
    <row r="364" spans="1:16" ht="10.5" customHeight="1">
      <c r="A364" s="4" t="s">
        <v>76</v>
      </c>
      <c r="C364" s="3">
        <v>17437</v>
      </c>
      <c r="D364" s="3">
        <v>2117</v>
      </c>
      <c r="E364" s="3">
        <v>4781</v>
      </c>
      <c r="F364" s="3">
        <v>8664</v>
      </c>
      <c r="G364" s="3">
        <v>28178</v>
      </c>
      <c r="H364" s="3">
        <v>7353</v>
      </c>
      <c r="I364" s="3">
        <v>338</v>
      </c>
      <c r="J364" s="3">
        <v>570</v>
      </c>
      <c r="K364" s="3">
        <v>300</v>
      </c>
      <c r="L364" s="3">
        <v>298</v>
      </c>
      <c r="M364" s="3">
        <v>181</v>
      </c>
      <c r="N364" s="3">
        <v>160</v>
      </c>
      <c r="O364" s="3">
        <v>276</v>
      </c>
      <c r="P364" s="3">
        <v>55</v>
      </c>
    </row>
    <row r="365" spans="2:16" s="5" customFormat="1" ht="10.5" customHeight="1">
      <c r="B365" s="7" t="s">
        <v>159</v>
      </c>
      <c r="C365" s="5">
        <f>C364/24335</f>
        <v>0.7165399630162318</v>
      </c>
      <c r="D365" s="5">
        <f>D364/24335</f>
        <v>0.08699404150400658</v>
      </c>
      <c r="E365" s="5">
        <f>E364/24335</f>
        <v>0.19646599547976165</v>
      </c>
      <c r="F365" s="5">
        <f>F364/45103</f>
        <v>0.1920936523069419</v>
      </c>
      <c r="G365" s="5">
        <f>G364/45103</f>
        <v>0.6247477994811875</v>
      </c>
      <c r="H365" s="5">
        <f>H364/45103</f>
        <v>0.16302684965523356</v>
      </c>
      <c r="I365" s="5">
        <f>I364/45103</f>
        <v>0.0074939582732855906</v>
      </c>
      <c r="J365" s="5">
        <f>J364/45103</f>
        <v>0.01263774028335144</v>
      </c>
      <c r="K365" s="5">
        <f>K364/779</f>
        <v>0.3851091142490372</v>
      </c>
      <c r="L365" s="5">
        <f>L364/779</f>
        <v>0.38254172015404364</v>
      </c>
      <c r="M365" s="5">
        <f>M364/779</f>
        <v>0.23234916559691912</v>
      </c>
      <c r="N365" s="5">
        <f>N364/160</f>
        <v>1</v>
      </c>
      <c r="O365" s="5">
        <f>O364/276</f>
        <v>1</v>
      </c>
      <c r="P365" s="5">
        <f>P364/55</f>
        <v>1</v>
      </c>
    </row>
    <row r="366" spans="2:16" ht="10.5" customHeight="1"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0.5" customHeight="1">
      <c r="A367" s="4" t="s">
        <v>144</v>
      </c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0.5" customHeight="1">
      <c r="B368" s="6" t="s">
        <v>71</v>
      </c>
      <c r="C368" s="2">
        <v>5486</v>
      </c>
      <c r="D368" s="2">
        <v>703</v>
      </c>
      <c r="E368" s="2">
        <v>1362</v>
      </c>
      <c r="F368" s="2">
        <v>2487</v>
      </c>
      <c r="G368" s="2">
        <v>8016</v>
      </c>
      <c r="H368" s="2">
        <v>2207</v>
      </c>
      <c r="I368" s="2">
        <v>154</v>
      </c>
      <c r="J368" s="2">
        <v>270</v>
      </c>
      <c r="K368" s="2">
        <v>65</v>
      </c>
      <c r="L368" s="2">
        <v>41</v>
      </c>
      <c r="M368" s="2">
        <v>40</v>
      </c>
      <c r="N368" s="2">
        <v>23</v>
      </c>
      <c r="O368" s="2">
        <v>41</v>
      </c>
      <c r="P368" s="2">
        <v>6</v>
      </c>
    </row>
    <row r="369" spans="2:16" ht="10.5" customHeight="1">
      <c r="B369" s="6" t="s">
        <v>72</v>
      </c>
      <c r="C369" s="2">
        <v>5640</v>
      </c>
      <c r="D369" s="2">
        <v>702</v>
      </c>
      <c r="E369" s="2">
        <v>1644</v>
      </c>
      <c r="F369" s="2">
        <v>5902</v>
      </c>
      <c r="G369" s="2">
        <v>13587</v>
      </c>
      <c r="H369" s="2">
        <v>3685</v>
      </c>
      <c r="I369" s="2">
        <v>200</v>
      </c>
      <c r="J369" s="2">
        <v>254</v>
      </c>
      <c r="K369" s="2">
        <v>79</v>
      </c>
      <c r="L369" s="2">
        <v>74</v>
      </c>
      <c r="M369" s="2">
        <v>70</v>
      </c>
      <c r="N369" s="2">
        <v>34</v>
      </c>
      <c r="O369" s="2">
        <v>127</v>
      </c>
      <c r="P369" s="2">
        <v>5</v>
      </c>
    </row>
    <row r="370" spans="2:16" ht="10.5" customHeight="1">
      <c r="B370" s="6" t="s">
        <v>66</v>
      </c>
      <c r="C370" s="2">
        <v>1809</v>
      </c>
      <c r="D370" s="2">
        <v>250</v>
      </c>
      <c r="E370" s="2">
        <v>437</v>
      </c>
      <c r="F370" s="2">
        <v>1464</v>
      </c>
      <c r="G370" s="2">
        <v>3148</v>
      </c>
      <c r="H370" s="2">
        <v>845</v>
      </c>
      <c r="I370" s="2">
        <v>38</v>
      </c>
      <c r="J370" s="2">
        <v>91</v>
      </c>
      <c r="K370" s="2">
        <v>29</v>
      </c>
      <c r="L370" s="2">
        <v>25</v>
      </c>
      <c r="M370" s="2">
        <v>16</v>
      </c>
      <c r="N370" s="2">
        <v>13</v>
      </c>
      <c r="O370" s="2">
        <v>31</v>
      </c>
      <c r="P370" s="2">
        <v>3</v>
      </c>
    </row>
    <row r="371" spans="1:16" ht="10.5" customHeight="1">
      <c r="A371" s="4" t="s">
        <v>76</v>
      </c>
      <c r="C371" s="3">
        <v>12935</v>
      </c>
      <c r="D371" s="3">
        <v>1655</v>
      </c>
      <c r="E371" s="3">
        <v>3443</v>
      </c>
      <c r="F371" s="3">
        <v>9853</v>
      </c>
      <c r="G371" s="3">
        <v>24751</v>
      </c>
      <c r="H371" s="3">
        <v>6737</v>
      </c>
      <c r="I371" s="3">
        <v>392</v>
      </c>
      <c r="J371" s="3">
        <v>615</v>
      </c>
      <c r="K371" s="3">
        <v>173</v>
      </c>
      <c r="L371" s="3">
        <v>140</v>
      </c>
      <c r="M371" s="3">
        <v>126</v>
      </c>
      <c r="N371" s="3">
        <v>70</v>
      </c>
      <c r="O371" s="3">
        <v>199</v>
      </c>
      <c r="P371" s="3">
        <v>14</v>
      </c>
    </row>
    <row r="372" spans="2:16" s="5" customFormat="1" ht="10.5" customHeight="1">
      <c r="B372" s="7" t="s">
        <v>159</v>
      </c>
      <c r="C372" s="5">
        <f>C371/18033</f>
        <v>0.7172960683191926</v>
      </c>
      <c r="D372" s="5">
        <f>D371/18033</f>
        <v>0.09177618809959519</v>
      </c>
      <c r="E372" s="5">
        <f>E371/18033</f>
        <v>0.19092774358121223</v>
      </c>
      <c r="F372" s="5">
        <f>F371/42348</f>
        <v>0.23266742231038065</v>
      </c>
      <c r="G372" s="5">
        <f>G371/42348</f>
        <v>0.5844667989043166</v>
      </c>
      <c r="H372" s="5">
        <f>H371/42348</f>
        <v>0.15908661566071597</v>
      </c>
      <c r="I372" s="5">
        <f>I371/42348</f>
        <v>0.009256635496363465</v>
      </c>
      <c r="J372" s="5">
        <f>J371/42348</f>
        <v>0.014522527628223293</v>
      </c>
      <c r="K372" s="5">
        <f>K371/439</f>
        <v>0.3940774487471526</v>
      </c>
      <c r="L372" s="5">
        <f>L371/439</f>
        <v>0.31890660592255127</v>
      </c>
      <c r="M372" s="5">
        <f>M371/439</f>
        <v>0.2870159453302961</v>
      </c>
      <c r="N372" s="5">
        <f>N371/70</f>
        <v>1</v>
      </c>
      <c r="O372" s="5">
        <f>O371/199</f>
        <v>1</v>
      </c>
      <c r="P372" s="5">
        <f>P371/14</f>
        <v>1</v>
      </c>
    </row>
    <row r="373" spans="2:16" ht="10.5" customHeight="1"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0.5" customHeight="1">
      <c r="A374" s="4" t="s">
        <v>145</v>
      </c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0.5" customHeight="1">
      <c r="B375" s="6" t="s">
        <v>71</v>
      </c>
      <c r="C375" s="2">
        <v>3814</v>
      </c>
      <c r="D375" s="2">
        <v>297</v>
      </c>
      <c r="E375" s="2">
        <v>766</v>
      </c>
      <c r="F375" s="2">
        <v>613</v>
      </c>
      <c r="G375" s="2">
        <v>1705</v>
      </c>
      <c r="H375" s="2">
        <v>438</v>
      </c>
      <c r="I375" s="2">
        <v>33</v>
      </c>
      <c r="J375" s="2">
        <v>118</v>
      </c>
      <c r="K375" s="2">
        <v>14</v>
      </c>
      <c r="L375" s="2">
        <v>24</v>
      </c>
      <c r="M375" s="2">
        <v>16</v>
      </c>
      <c r="N375" s="2">
        <v>30</v>
      </c>
      <c r="O375" s="2">
        <v>17</v>
      </c>
      <c r="P375" s="2">
        <v>4</v>
      </c>
    </row>
    <row r="376" spans="2:16" ht="10.5" customHeight="1">
      <c r="B376" s="6" t="s">
        <v>66</v>
      </c>
      <c r="C376" s="2">
        <v>6240</v>
      </c>
      <c r="D376" s="2">
        <v>662</v>
      </c>
      <c r="E376" s="2">
        <v>1702</v>
      </c>
      <c r="F376" s="2">
        <v>2757</v>
      </c>
      <c r="G376" s="2">
        <v>6025</v>
      </c>
      <c r="H376" s="2">
        <v>1520</v>
      </c>
      <c r="I376" s="2">
        <v>48</v>
      </c>
      <c r="J376" s="2">
        <v>305</v>
      </c>
      <c r="K376" s="2">
        <v>71</v>
      </c>
      <c r="L376" s="2">
        <v>90</v>
      </c>
      <c r="M376" s="2">
        <v>55</v>
      </c>
      <c r="N376" s="2">
        <v>33</v>
      </c>
      <c r="O376" s="2">
        <v>56</v>
      </c>
      <c r="P376" s="2">
        <v>18</v>
      </c>
    </row>
    <row r="377" spans="1:16" ht="10.5" customHeight="1">
      <c r="A377" s="4" t="s">
        <v>76</v>
      </c>
      <c r="C377" s="3">
        <v>10054</v>
      </c>
      <c r="D377" s="3">
        <v>959</v>
      </c>
      <c r="E377" s="3">
        <v>2468</v>
      </c>
      <c r="F377" s="3">
        <v>3370</v>
      </c>
      <c r="G377" s="3">
        <v>7730</v>
      </c>
      <c r="H377" s="3">
        <v>1958</v>
      </c>
      <c r="I377" s="3">
        <v>81</v>
      </c>
      <c r="J377" s="3">
        <v>423</v>
      </c>
      <c r="K377" s="3">
        <v>85</v>
      </c>
      <c r="L377" s="3">
        <v>114</v>
      </c>
      <c r="M377" s="3">
        <v>71</v>
      </c>
      <c r="N377" s="3">
        <v>63</v>
      </c>
      <c r="O377" s="3">
        <v>73</v>
      </c>
      <c r="P377" s="3">
        <v>22</v>
      </c>
    </row>
    <row r="378" spans="2:16" s="5" customFormat="1" ht="10.5" customHeight="1">
      <c r="B378" s="7" t="s">
        <v>159</v>
      </c>
      <c r="C378" s="5">
        <f>C377/13481</f>
        <v>0.7457903716341517</v>
      </c>
      <c r="D378" s="5">
        <f>D377/13481</f>
        <v>0.07113715599732957</v>
      </c>
      <c r="E378" s="5">
        <f>E377/13481</f>
        <v>0.18307247236851865</v>
      </c>
      <c r="F378" s="5">
        <f>F377/13562</f>
        <v>0.24848842353635156</v>
      </c>
      <c r="G378" s="5">
        <f>G377/13562</f>
        <v>0.5699749299513346</v>
      </c>
      <c r="H378" s="5">
        <f>H377/13562</f>
        <v>0.1443739861377378</v>
      </c>
      <c r="I378" s="5">
        <f>I377/13562</f>
        <v>0.0059725704173425745</v>
      </c>
      <c r="J378" s="5">
        <f>J377/13562</f>
        <v>0.031190089957233446</v>
      </c>
      <c r="K378" s="5">
        <f>K377/270</f>
        <v>0.3148148148148148</v>
      </c>
      <c r="L378" s="5">
        <f>L377/270</f>
        <v>0.4222222222222222</v>
      </c>
      <c r="M378" s="5">
        <f>M377/270</f>
        <v>0.26296296296296295</v>
      </c>
      <c r="N378" s="5">
        <f>N377/63</f>
        <v>1</v>
      </c>
      <c r="O378" s="5">
        <f>O377/73</f>
        <v>1</v>
      </c>
      <c r="P378" s="5">
        <f>P377/22</f>
        <v>1</v>
      </c>
    </row>
    <row r="379" spans="2:16" ht="10.5" customHeight="1"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0.5" customHeight="1">
      <c r="A380" s="4" t="s">
        <v>146</v>
      </c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0.5" customHeight="1">
      <c r="B381" s="6" t="s">
        <v>66</v>
      </c>
      <c r="C381" s="2">
        <v>10849</v>
      </c>
      <c r="D381" s="2">
        <v>1204</v>
      </c>
      <c r="E381" s="2">
        <v>2593</v>
      </c>
      <c r="F381" s="2">
        <v>1784</v>
      </c>
      <c r="G381" s="2">
        <v>4340</v>
      </c>
      <c r="H381" s="2">
        <v>1401</v>
      </c>
      <c r="I381" s="2">
        <v>70</v>
      </c>
      <c r="J381" s="2">
        <v>443</v>
      </c>
      <c r="K381" s="2">
        <v>96</v>
      </c>
      <c r="L381" s="2">
        <v>96</v>
      </c>
      <c r="M381" s="2">
        <v>85</v>
      </c>
      <c r="N381" s="2">
        <v>41</v>
      </c>
      <c r="O381" s="2">
        <v>63</v>
      </c>
      <c r="P381" s="2">
        <v>18</v>
      </c>
    </row>
    <row r="382" spans="1:16" ht="10.5" customHeight="1">
      <c r="A382" s="4" t="s">
        <v>76</v>
      </c>
      <c r="C382" s="3">
        <v>10849</v>
      </c>
      <c r="D382" s="3">
        <v>1204</v>
      </c>
      <c r="E382" s="3">
        <v>2593</v>
      </c>
      <c r="F382" s="3">
        <v>1784</v>
      </c>
      <c r="G382" s="3">
        <v>4340</v>
      </c>
      <c r="H382" s="3">
        <v>1401</v>
      </c>
      <c r="I382" s="3">
        <v>70</v>
      </c>
      <c r="J382" s="3">
        <v>443</v>
      </c>
      <c r="K382" s="3">
        <v>96</v>
      </c>
      <c r="L382" s="3">
        <v>96</v>
      </c>
      <c r="M382" s="3">
        <v>85</v>
      </c>
      <c r="N382" s="3">
        <v>41</v>
      </c>
      <c r="O382" s="3">
        <v>63</v>
      </c>
      <c r="P382" s="3">
        <v>18</v>
      </c>
    </row>
    <row r="383" spans="2:16" s="5" customFormat="1" ht="10.5" customHeight="1">
      <c r="B383" s="7" t="s">
        <v>159</v>
      </c>
      <c r="C383" s="5">
        <f>C382/14646</f>
        <v>0.7407483271883109</v>
      </c>
      <c r="D383" s="5">
        <f>D382/14646</f>
        <v>0.0822067458691793</v>
      </c>
      <c r="E383" s="5">
        <f>E382/14646</f>
        <v>0.1770449269425099</v>
      </c>
      <c r="F383" s="5">
        <f>F382/8038</f>
        <v>0.221945757651157</v>
      </c>
      <c r="G383" s="5">
        <f>G382/8038</f>
        <v>0.5399353072903708</v>
      </c>
      <c r="H383" s="5">
        <f>H382/8038</f>
        <v>0.1742970888280667</v>
      </c>
      <c r="I383" s="5">
        <f>I382/8038</f>
        <v>0.008708633988554367</v>
      </c>
      <c r="J383" s="5">
        <f>J382/8038</f>
        <v>0.05511321224185121</v>
      </c>
      <c r="K383" s="5">
        <f>K382/277</f>
        <v>0.34657039711191334</v>
      </c>
      <c r="L383" s="5">
        <f>L382/277</f>
        <v>0.34657039711191334</v>
      </c>
      <c r="M383" s="5">
        <f>M382/277</f>
        <v>0.30685920577617326</v>
      </c>
      <c r="N383" s="5">
        <f>N382/41</f>
        <v>1</v>
      </c>
      <c r="O383" s="5">
        <f>O382/63</f>
        <v>1</v>
      </c>
      <c r="P383" s="5">
        <f>P382/18</f>
        <v>1</v>
      </c>
    </row>
    <row r="384" spans="2:16" ht="10.5" customHeight="1"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0.5" customHeight="1">
      <c r="A385" s="4" t="s">
        <v>147</v>
      </c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0.5" customHeight="1">
      <c r="B386" s="6" t="s">
        <v>73</v>
      </c>
      <c r="C386" s="2">
        <v>357</v>
      </c>
      <c r="D386" s="2">
        <v>58</v>
      </c>
      <c r="E386" s="2">
        <v>71</v>
      </c>
      <c r="F386" s="2">
        <v>109</v>
      </c>
      <c r="G386" s="2">
        <v>351</v>
      </c>
      <c r="H386" s="2">
        <v>118</v>
      </c>
      <c r="I386" s="2">
        <v>4</v>
      </c>
      <c r="J386" s="2">
        <v>10</v>
      </c>
      <c r="K386" s="2">
        <v>2</v>
      </c>
      <c r="L386" s="2">
        <v>5</v>
      </c>
      <c r="M386" s="2">
        <v>0</v>
      </c>
      <c r="N386" s="2">
        <v>3</v>
      </c>
      <c r="O386" s="2">
        <v>4</v>
      </c>
      <c r="P386" s="2">
        <v>0</v>
      </c>
    </row>
    <row r="387" spans="2:16" ht="10.5" customHeight="1">
      <c r="B387" s="6" t="s">
        <v>66</v>
      </c>
      <c r="C387" s="2">
        <v>15927</v>
      </c>
      <c r="D387" s="2">
        <v>2031</v>
      </c>
      <c r="E387" s="2">
        <v>3985</v>
      </c>
      <c r="F387" s="2">
        <v>7679</v>
      </c>
      <c r="G387" s="2">
        <v>21347</v>
      </c>
      <c r="H387" s="2">
        <v>6268</v>
      </c>
      <c r="I387" s="2">
        <v>216</v>
      </c>
      <c r="J387" s="2">
        <v>586</v>
      </c>
      <c r="K387" s="2">
        <v>274</v>
      </c>
      <c r="L387" s="2">
        <v>263</v>
      </c>
      <c r="M387" s="2">
        <v>136</v>
      </c>
      <c r="N387" s="2">
        <v>124</v>
      </c>
      <c r="O387" s="2">
        <v>191</v>
      </c>
      <c r="P387" s="2">
        <v>38</v>
      </c>
    </row>
    <row r="388" spans="1:16" ht="10.5" customHeight="1">
      <c r="A388" s="4" t="s">
        <v>76</v>
      </c>
      <c r="C388" s="3">
        <v>16284</v>
      </c>
      <c r="D388" s="3">
        <v>2089</v>
      </c>
      <c r="E388" s="3">
        <v>4056</v>
      </c>
      <c r="F388" s="3">
        <v>7788</v>
      </c>
      <c r="G388" s="3">
        <v>21698</v>
      </c>
      <c r="H388" s="3">
        <v>6386</v>
      </c>
      <c r="I388" s="3">
        <v>220</v>
      </c>
      <c r="J388" s="3">
        <v>596</v>
      </c>
      <c r="K388" s="3">
        <v>276</v>
      </c>
      <c r="L388" s="3">
        <v>268</v>
      </c>
      <c r="M388" s="3">
        <v>136</v>
      </c>
      <c r="N388" s="3">
        <v>127</v>
      </c>
      <c r="O388" s="3">
        <v>195</v>
      </c>
      <c r="P388" s="3">
        <v>38</v>
      </c>
    </row>
    <row r="389" spans="2:16" s="5" customFormat="1" ht="10.5" customHeight="1">
      <c r="B389" s="7" t="s">
        <v>159</v>
      </c>
      <c r="C389" s="5">
        <f>C388/22429</f>
        <v>0.7260243434838825</v>
      </c>
      <c r="D389" s="5">
        <f>D388/22429</f>
        <v>0.0931383476748852</v>
      </c>
      <c r="E389" s="5">
        <f>E388/22429</f>
        <v>0.18083730884123234</v>
      </c>
      <c r="F389" s="5">
        <f>F388/36688</f>
        <v>0.21227649367640644</v>
      </c>
      <c r="G389" s="5">
        <f>G388/36688</f>
        <v>0.5914195377235063</v>
      </c>
      <c r="H389" s="5">
        <f>H388/36688</f>
        <v>0.17406236371565634</v>
      </c>
      <c r="I389" s="5">
        <f>I388/36688</f>
        <v>0.005996511120802442</v>
      </c>
      <c r="J389" s="5">
        <f>J388/36688</f>
        <v>0.016245093763628433</v>
      </c>
      <c r="K389" s="5">
        <f>K388/680</f>
        <v>0.40588235294117647</v>
      </c>
      <c r="L389" s="5">
        <f>L388/680</f>
        <v>0.3941176470588235</v>
      </c>
      <c r="M389" s="5">
        <f>M388/680</f>
        <v>0.2</v>
      </c>
      <c r="N389" s="5">
        <f>N388/127</f>
        <v>1</v>
      </c>
      <c r="O389" s="5">
        <f>O388/195</f>
        <v>1</v>
      </c>
      <c r="P389" s="5">
        <f>P388/38</f>
        <v>1</v>
      </c>
    </row>
    <row r="390" spans="2:16" ht="10.5" customHeight="1"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0.5" customHeight="1">
      <c r="A391" s="4" t="s">
        <v>148</v>
      </c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0.5" customHeight="1">
      <c r="B392" s="6" t="s">
        <v>73</v>
      </c>
      <c r="C392" s="2">
        <v>18145</v>
      </c>
      <c r="D392" s="2">
        <v>1632</v>
      </c>
      <c r="E392" s="2">
        <v>4053</v>
      </c>
      <c r="F392" s="2">
        <v>7197</v>
      </c>
      <c r="G392" s="2">
        <v>25771</v>
      </c>
      <c r="H392" s="2">
        <v>7950</v>
      </c>
      <c r="I392" s="2">
        <v>241</v>
      </c>
      <c r="J392" s="2">
        <v>530</v>
      </c>
      <c r="K392" s="2">
        <v>226</v>
      </c>
      <c r="L392" s="2">
        <v>285</v>
      </c>
      <c r="M392" s="2">
        <v>147</v>
      </c>
      <c r="N392" s="2">
        <v>131</v>
      </c>
      <c r="O392" s="2">
        <v>258</v>
      </c>
      <c r="P392" s="2">
        <v>40</v>
      </c>
    </row>
    <row r="393" spans="1:16" ht="10.5" customHeight="1">
      <c r="A393" s="4" t="s">
        <v>76</v>
      </c>
      <c r="C393" s="3">
        <v>18145</v>
      </c>
      <c r="D393" s="3">
        <v>1632</v>
      </c>
      <c r="E393" s="3">
        <v>4053</v>
      </c>
      <c r="F393" s="3">
        <v>7197</v>
      </c>
      <c r="G393" s="3">
        <v>25771</v>
      </c>
      <c r="H393" s="3">
        <v>7950</v>
      </c>
      <c r="I393" s="3">
        <v>241</v>
      </c>
      <c r="J393" s="3">
        <v>530</v>
      </c>
      <c r="K393" s="3">
        <v>226</v>
      </c>
      <c r="L393" s="3">
        <v>285</v>
      </c>
      <c r="M393" s="3">
        <v>147</v>
      </c>
      <c r="N393" s="3">
        <v>131</v>
      </c>
      <c r="O393" s="3">
        <v>258</v>
      </c>
      <c r="P393" s="3">
        <v>40</v>
      </c>
    </row>
    <row r="394" spans="2:16" s="5" customFormat="1" ht="10.5" customHeight="1">
      <c r="B394" s="7" t="s">
        <v>159</v>
      </c>
      <c r="C394" s="5">
        <f>C393/23830</f>
        <v>0.7614351657574486</v>
      </c>
      <c r="D394" s="5">
        <f>D393/23830</f>
        <v>0.06848510281158204</v>
      </c>
      <c r="E394" s="5">
        <f>E393/23830</f>
        <v>0.17007973143096936</v>
      </c>
      <c r="F394" s="5">
        <f>F393/41689</f>
        <v>0.17263546738947924</v>
      </c>
      <c r="G394" s="5">
        <f>G393/41689</f>
        <v>0.6181726594545324</v>
      </c>
      <c r="H394" s="5">
        <f>H393/41689</f>
        <v>0.1906977859867111</v>
      </c>
      <c r="I394" s="5">
        <f>I393/41689</f>
        <v>0.005780901436829859</v>
      </c>
      <c r="J394" s="5">
        <f>J393/41689</f>
        <v>0.012713185732447408</v>
      </c>
      <c r="K394" s="5">
        <f>K393/658</f>
        <v>0.3434650455927052</v>
      </c>
      <c r="L394" s="5">
        <f>L393/658</f>
        <v>0.4331306990881459</v>
      </c>
      <c r="M394" s="5">
        <f>M393/658</f>
        <v>0.22340425531914893</v>
      </c>
      <c r="N394" s="5">
        <f>N393/131</f>
        <v>1</v>
      </c>
      <c r="O394" s="5">
        <f>O393/258</f>
        <v>1</v>
      </c>
      <c r="P394" s="5">
        <f>P393/40</f>
        <v>1</v>
      </c>
    </row>
    <row r="395" spans="2:16" ht="10.5" customHeight="1"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0.5" customHeight="1">
      <c r="A396" s="4" t="s">
        <v>149</v>
      </c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0.5" customHeight="1">
      <c r="B397" s="6" t="s">
        <v>73</v>
      </c>
      <c r="C397" s="2">
        <v>13075</v>
      </c>
      <c r="D397" s="2">
        <v>1807</v>
      </c>
      <c r="E397" s="2">
        <v>4178</v>
      </c>
      <c r="F397" s="2">
        <v>5010</v>
      </c>
      <c r="G397" s="2">
        <v>20340</v>
      </c>
      <c r="H397" s="2">
        <v>4581</v>
      </c>
      <c r="I397" s="2">
        <v>205</v>
      </c>
      <c r="J397" s="2">
        <v>475</v>
      </c>
      <c r="K397" s="2">
        <v>221</v>
      </c>
      <c r="L397" s="2">
        <v>278</v>
      </c>
      <c r="M397" s="2">
        <v>147</v>
      </c>
      <c r="N397" s="2">
        <v>69</v>
      </c>
      <c r="O397" s="2">
        <v>130</v>
      </c>
      <c r="P397" s="2">
        <v>26</v>
      </c>
    </row>
    <row r="398" spans="2:16" ht="10.5" customHeight="1">
      <c r="B398" s="6" t="s">
        <v>66</v>
      </c>
      <c r="C398" s="2">
        <v>3900</v>
      </c>
      <c r="D398" s="2">
        <v>587</v>
      </c>
      <c r="E398" s="2">
        <v>1370</v>
      </c>
      <c r="F398" s="2">
        <v>2012</v>
      </c>
      <c r="G398" s="2">
        <v>8158</v>
      </c>
      <c r="H398" s="2">
        <v>1819</v>
      </c>
      <c r="I398" s="2">
        <v>98</v>
      </c>
      <c r="J398" s="2">
        <v>159</v>
      </c>
      <c r="K398" s="2">
        <v>125</v>
      </c>
      <c r="L398" s="2">
        <v>154</v>
      </c>
      <c r="M398" s="2">
        <v>66</v>
      </c>
      <c r="N398" s="2">
        <v>45</v>
      </c>
      <c r="O398" s="2">
        <v>97</v>
      </c>
      <c r="P398" s="2">
        <v>14</v>
      </c>
    </row>
    <row r="399" spans="1:16" ht="10.5" customHeight="1">
      <c r="A399" s="4" t="s">
        <v>76</v>
      </c>
      <c r="C399" s="3">
        <v>16975</v>
      </c>
      <c r="D399" s="3">
        <v>2394</v>
      </c>
      <c r="E399" s="3">
        <v>5548</v>
      </c>
      <c r="F399" s="3">
        <v>7022</v>
      </c>
      <c r="G399" s="3">
        <v>28498</v>
      </c>
      <c r="H399" s="3">
        <v>6400</v>
      </c>
      <c r="I399" s="3">
        <v>303</v>
      </c>
      <c r="J399" s="3">
        <v>634</v>
      </c>
      <c r="K399" s="3">
        <v>346</v>
      </c>
      <c r="L399" s="3">
        <v>432</v>
      </c>
      <c r="M399" s="3">
        <v>213</v>
      </c>
      <c r="N399" s="3">
        <v>114</v>
      </c>
      <c r="O399" s="3">
        <v>227</v>
      </c>
      <c r="P399" s="3">
        <v>40</v>
      </c>
    </row>
    <row r="400" spans="2:16" s="5" customFormat="1" ht="10.5" customHeight="1">
      <c r="B400" s="7" t="s">
        <v>159</v>
      </c>
      <c r="C400" s="5">
        <f>C399/24917</f>
        <v>0.6812617891399446</v>
      </c>
      <c r="D400" s="5">
        <f>D399/24917</f>
        <v>0.09607898222097364</v>
      </c>
      <c r="E400" s="5">
        <f>E399/24917</f>
        <v>0.22265922863908175</v>
      </c>
      <c r="F400" s="5">
        <f>F399/42857</f>
        <v>0.16384721282404274</v>
      </c>
      <c r="G400" s="5">
        <f>G399/42857</f>
        <v>0.6649555498518328</v>
      </c>
      <c r="H400" s="5">
        <f>H399/42857</f>
        <v>0.14933383111277038</v>
      </c>
      <c r="I400" s="5">
        <f>I399/42857</f>
        <v>0.007070023566745223</v>
      </c>
      <c r="J400" s="5">
        <f>J399/42857</f>
        <v>0.014793382644608815</v>
      </c>
      <c r="K400" s="5">
        <f>K399/991</f>
        <v>0.3491422805247225</v>
      </c>
      <c r="L400" s="5">
        <f>L399/991</f>
        <v>0.43592330978809285</v>
      </c>
      <c r="M400" s="5">
        <f>M399/991</f>
        <v>0.21493440968718466</v>
      </c>
      <c r="N400" s="5">
        <f>N399/114</f>
        <v>1</v>
      </c>
      <c r="O400" s="5">
        <f>O399/227</f>
        <v>1</v>
      </c>
      <c r="P400" s="5">
        <f>P399/40</f>
        <v>1</v>
      </c>
    </row>
    <row r="401" spans="2:16" ht="10.5" customHeight="1"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0.5" customHeight="1">
      <c r="A402" s="4" t="s">
        <v>150</v>
      </c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0.5" customHeight="1">
      <c r="B403" s="6" t="s">
        <v>73</v>
      </c>
      <c r="C403" s="2">
        <v>9524</v>
      </c>
      <c r="D403" s="2">
        <v>1394</v>
      </c>
      <c r="E403" s="2">
        <v>2710</v>
      </c>
      <c r="F403" s="2">
        <v>6335</v>
      </c>
      <c r="G403" s="2">
        <v>19065</v>
      </c>
      <c r="H403" s="2">
        <v>4026</v>
      </c>
      <c r="I403" s="2">
        <v>128</v>
      </c>
      <c r="J403" s="2">
        <v>459</v>
      </c>
      <c r="K403" s="2">
        <v>200</v>
      </c>
      <c r="L403" s="2">
        <v>197</v>
      </c>
      <c r="M403" s="2">
        <v>111</v>
      </c>
      <c r="N403" s="2">
        <v>70</v>
      </c>
      <c r="O403" s="2">
        <v>157</v>
      </c>
      <c r="P403" s="2">
        <v>31</v>
      </c>
    </row>
    <row r="404" spans="2:16" ht="10.5" customHeight="1">
      <c r="B404" s="6" t="s">
        <v>74</v>
      </c>
      <c r="C404" s="2">
        <v>3109</v>
      </c>
      <c r="D404" s="2">
        <v>364</v>
      </c>
      <c r="E404" s="2">
        <v>773</v>
      </c>
      <c r="F404" s="2">
        <v>2802</v>
      </c>
      <c r="G404" s="2">
        <v>8959</v>
      </c>
      <c r="H404" s="2">
        <v>1508</v>
      </c>
      <c r="I404" s="2">
        <v>54</v>
      </c>
      <c r="J404" s="2">
        <v>141</v>
      </c>
      <c r="K404" s="2">
        <v>76</v>
      </c>
      <c r="L404" s="2">
        <v>80</v>
      </c>
      <c r="M404" s="2">
        <v>36</v>
      </c>
      <c r="N404" s="2">
        <v>25</v>
      </c>
      <c r="O404" s="2">
        <v>98</v>
      </c>
      <c r="P404" s="2">
        <v>7</v>
      </c>
    </row>
    <row r="405" spans="1:16" ht="10.5" customHeight="1">
      <c r="A405" s="4" t="s">
        <v>76</v>
      </c>
      <c r="C405" s="3">
        <v>12633</v>
      </c>
      <c r="D405" s="3">
        <v>1758</v>
      </c>
      <c r="E405" s="3">
        <v>3483</v>
      </c>
      <c r="F405" s="3">
        <v>9137</v>
      </c>
      <c r="G405" s="3">
        <v>28024</v>
      </c>
      <c r="H405" s="3">
        <v>5534</v>
      </c>
      <c r="I405" s="3">
        <v>182</v>
      </c>
      <c r="J405" s="3">
        <v>600</v>
      </c>
      <c r="K405" s="3">
        <v>276</v>
      </c>
      <c r="L405" s="3">
        <v>277</v>
      </c>
      <c r="M405" s="3">
        <v>147</v>
      </c>
      <c r="N405" s="3">
        <v>95</v>
      </c>
      <c r="O405" s="3">
        <v>255</v>
      </c>
      <c r="P405" s="3">
        <v>38</v>
      </c>
    </row>
    <row r="406" spans="2:16" s="5" customFormat="1" ht="10.5" customHeight="1">
      <c r="B406" s="7" t="s">
        <v>159</v>
      </c>
      <c r="C406" s="5">
        <f>C405/17874</f>
        <v>0.706780798925814</v>
      </c>
      <c r="D406" s="5">
        <f>D405/17874</f>
        <v>0.0983551527358174</v>
      </c>
      <c r="E406" s="5">
        <f>E405/17874</f>
        <v>0.19486404833836857</v>
      </c>
      <c r="F406" s="5">
        <f>F405/43477</f>
        <v>0.2101570945557421</v>
      </c>
      <c r="G406" s="5">
        <f>G405/43477</f>
        <v>0.6445706925500839</v>
      </c>
      <c r="H406" s="5">
        <f>H405/43477</f>
        <v>0.12728569128504727</v>
      </c>
      <c r="I406" s="5">
        <f>I405/43477</f>
        <v>0.004186121397520528</v>
      </c>
      <c r="J406" s="5">
        <f>J405/43477</f>
        <v>0.013800400211606136</v>
      </c>
      <c r="K406" s="5">
        <f>K405/700</f>
        <v>0.3942857142857143</v>
      </c>
      <c r="L406" s="5">
        <f>L405/700</f>
        <v>0.39571428571428574</v>
      </c>
      <c r="M406" s="5">
        <f>M405/700</f>
        <v>0.21</v>
      </c>
      <c r="N406" s="5">
        <f>N405/95</f>
        <v>1</v>
      </c>
      <c r="O406" s="5">
        <f>O405/255</f>
        <v>1</v>
      </c>
      <c r="P406" s="5">
        <f>P405/38</f>
        <v>1</v>
      </c>
    </row>
    <row r="407" spans="2:16" ht="10.5" customHeight="1"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0.5" customHeight="1">
      <c r="A408" s="4" t="s">
        <v>151</v>
      </c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2:16" ht="10.5" customHeight="1">
      <c r="B409" s="6" t="s">
        <v>72</v>
      </c>
      <c r="C409" s="2">
        <v>18232</v>
      </c>
      <c r="D409" s="2">
        <v>1917</v>
      </c>
      <c r="E409" s="2">
        <v>4572</v>
      </c>
      <c r="F409" s="2">
        <v>11950</v>
      </c>
      <c r="G409" s="2">
        <v>26266</v>
      </c>
      <c r="H409" s="2">
        <v>8622</v>
      </c>
      <c r="I409" s="2">
        <v>311</v>
      </c>
      <c r="J409" s="2">
        <v>678</v>
      </c>
      <c r="K409" s="2">
        <v>206</v>
      </c>
      <c r="L409" s="2">
        <v>221</v>
      </c>
      <c r="M409" s="2">
        <v>152</v>
      </c>
      <c r="N409" s="2">
        <v>129</v>
      </c>
      <c r="O409" s="2">
        <v>334</v>
      </c>
      <c r="P409" s="2">
        <v>44</v>
      </c>
    </row>
    <row r="410" spans="1:16" ht="10.5" customHeight="1">
      <c r="A410" s="4" t="s">
        <v>76</v>
      </c>
      <c r="C410" s="3">
        <v>18232</v>
      </c>
      <c r="D410" s="3">
        <v>1917</v>
      </c>
      <c r="E410" s="3">
        <v>4572</v>
      </c>
      <c r="F410" s="3">
        <v>11950</v>
      </c>
      <c r="G410" s="3">
        <v>26266</v>
      </c>
      <c r="H410" s="3">
        <v>8622</v>
      </c>
      <c r="I410" s="3">
        <v>311</v>
      </c>
      <c r="J410" s="3">
        <v>678</v>
      </c>
      <c r="K410" s="3">
        <v>206</v>
      </c>
      <c r="L410" s="3">
        <v>221</v>
      </c>
      <c r="M410" s="3">
        <v>152</v>
      </c>
      <c r="N410" s="3">
        <v>129</v>
      </c>
      <c r="O410" s="3">
        <v>334</v>
      </c>
      <c r="P410" s="3">
        <v>44</v>
      </c>
    </row>
    <row r="411" spans="2:16" s="5" customFormat="1" ht="10.5" customHeight="1">
      <c r="B411" s="7" t="s">
        <v>159</v>
      </c>
      <c r="C411" s="5">
        <f>C410/24721</f>
        <v>0.7375106185024878</v>
      </c>
      <c r="D411" s="5">
        <f>D410/24721</f>
        <v>0.07754540673920958</v>
      </c>
      <c r="E411" s="5">
        <f>E410/24721</f>
        <v>0.18494397475830265</v>
      </c>
      <c r="F411" s="5">
        <f>F410/47827</f>
        <v>0.24985886633073368</v>
      </c>
      <c r="G411" s="5">
        <f>G410/47827</f>
        <v>0.5491876973257783</v>
      </c>
      <c r="H411" s="5">
        <f>H410/47827</f>
        <v>0.1802747402095051</v>
      </c>
      <c r="I411" s="5">
        <f>I410/47827</f>
        <v>0.006502603132122023</v>
      </c>
      <c r="J411" s="5">
        <f>J410/47827</f>
        <v>0.014176093001860873</v>
      </c>
      <c r="K411" s="5">
        <f>K410/579</f>
        <v>0.35578583765112265</v>
      </c>
      <c r="L411" s="5">
        <f>L410/579</f>
        <v>0.38169257340241797</v>
      </c>
      <c r="M411" s="5">
        <f>M410/579</f>
        <v>0.26252158894645944</v>
      </c>
      <c r="N411" s="5">
        <f>N410/129</f>
        <v>1</v>
      </c>
      <c r="O411" s="5">
        <f>O410/334</f>
        <v>1</v>
      </c>
      <c r="P411" s="5">
        <f>P410/44</f>
        <v>1</v>
      </c>
    </row>
    <row r="412" spans="2:16" ht="10.5" customHeight="1"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0.5" customHeight="1">
      <c r="A413" s="4" t="s">
        <v>152</v>
      </c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2:16" ht="10.5" customHeight="1">
      <c r="B414" s="6" t="s">
        <v>72</v>
      </c>
      <c r="C414" s="2">
        <v>13961</v>
      </c>
      <c r="D414" s="2">
        <v>1421</v>
      </c>
      <c r="E414" s="2">
        <v>3578</v>
      </c>
      <c r="F414" s="2">
        <v>10340</v>
      </c>
      <c r="G414" s="2">
        <v>15277</v>
      </c>
      <c r="H414" s="2">
        <v>6958</v>
      </c>
      <c r="I414" s="2">
        <v>283</v>
      </c>
      <c r="J414" s="2">
        <v>451</v>
      </c>
      <c r="K414" s="2">
        <v>164</v>
      </c>
      <c r="L414" s="2">
        <v>163</v>
      </c>
      <c r="M414" s="2">
        <v>155</v>
      </c>
      <c r="N414" s="2">
        <v>126</v>
      </c>
      <c r="O414" s="2">
        <v>251</v>
      </c>
      <c r="P414" s="2">
        <v>41</v>
      </c>
    </row>
    <row r="415" spans="1:16" ht="10.5" customHeight="1">
      <c r="A415" s="4" t="s">
        <v>76</v>
      </c>
      <c r="C415" s="3">
        <v>13961</v>
      </c>
      <c r="D415" s="3">
        <v>1421</v>
      </c>
      <c r="E415" s="3">
        <v>3578</v>
      </c>
      <c r="F415" s="3">
        <v>10340</v>
      </c>
      <c r="G415" s="3">
        <v>15277</v>
      </c>
      <c r="H415" s="3">
        <v>6958</v>
      </c>
      <c r="I415" s="3">
        <v>283</v>
      </c>
      <c r="J415" s="3">
        <v>451</v>
      </c>
      <c r="K415" s="3">
        <v>164</v>
      </c>
      <c r="L415" s="3">
        <v>163</v>
      </c>
      <c r="M415" s="3">
        <v>155</v>
      </c>
      <c r="N415" s="3">
        <v>126</v>
      </c>
      <c r="O415" s="3">
        <v>251</v>
      </c>
      <c r="P415" s="3">
        <v>41</v>
      </c>
    </row>
    <row r="416" spans="2:16" s="5" customFormat="1" ht="10.5" customHeight="1">
      <c r="B416" s="7" t="s">
        <v>159</v>
      </c>
      <c r="C416" s="5">
        <f>C415/18960</f>
        <v>0.7363396624472573</v>
      </c>
      <c r="D416" s="5">
        <f>D415/18960</f>
        <v>0.07494725738396625</v>
      </c>
      <c r="E416" s="5">
        <f>E415/18960</f>
        <v>0.18871308016877636</v>
      </c>
      <c r="F416" s="5">
        <f>F415/33309</f>
        <v>0.3104266114263412</v>
      </c>
      <c r="G416" s="5">
        <f>G415/33309</f>
        <v>0.4586448107118196</v>
      </c>
      <c r="H416" s="5">
        <f>H415/33309</f>
        <v>0.20889249151880873</v>
      </c>
      <c r="I416" s="5">
        <f>I415/33309</f>
        <v>0.008496202227626167</v>
      </c>
      <c r="J416" s="5">
        <f>J415/33309</f>
        <v>0.013539884115404245</v>
      </c>
      <c r="K416" s="5">
        <f>K415/482</f>
        <v>0.34024896265560167</v>
      </c>
      <c r="L416" s="5">
        <f>L415/482</f>
        <v>0.3381742738589212</v>
      </c>
      <c r="M416" s="5">
        <f>M415/482</f>
        <v>0.3215767634854772</v>
      </c>
      <c r="N416" s="5">
        <f>N415/126</f>
        <v>1</v>
      </c>
      <c r="O416" s="5">
        <f>O415/251</f>
        <v>1</v>
      </c>
      <c r="P416" s="5">
        <f>P415/41</f>
        <v>1</v>
      </c>
    </row>
    <row r="417" spans="2:16" ht="10.5" customHeight="1"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0.5" customHeight="1">
      <c r="A418" s="4" t="s">
        <v>153</v>
      </c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2:16" ht="10.5" customHeight="1">
      <c r="B419" s="6" t="s">
        <v>72</v>
      </c>
      <c r="C419" s="2">
        <v>8746</v>
      </c>
      <c r="D419" s="2">
        <v>854</v>
      </c>
      <c r="E419" s="2">
        <v>2213</v>
      </c>
      <c r="F419" s="2">
        <v>2955</v>
      </c>
      <c r="G419" s="2">
        <v>4596</v>
      </c>
      <c r="H419" s="2">
        <v>2499</v>
      </c>
      <c r="I419" s="2">
        <v>84</v>
      </c>
      <c r="J419" s="2">
        <v>266</v>
      </c>
      <c r="K419" s="2">
        <v>59</v>
      </c>
      <c r="L419" s="2">
        <v>51</v>
      </c>
      <c r="M419" s="2">
        <v>59</v>
      </c>
      <c r="N419" s="2">
        <v>35</v>
      </c>
      <c r="O419" s="2">
        <v>105</v>
      </c>
      <c r="P419" s="2">
        <v>26</v>
      </c>
    </row>
    <row r="420" spans="1:16" ht="10.5" customHeight="1">
      <c r="A420" s="4" t="s">
        <v>76</v>
      </c>
      <c r="C420" s="3">
        <v>8746</v>
      </c>
      <c r="D420" s="3">
        <v>854</v>
      </c>
      <c r="E420" s="3">
        <v>2213</v>
      </c>
      <c r="F420" s="3">
        <v>2955</v>
      </c>
      <c r="G420" s="3">
        <v>4596</v>
      </c>
      <c r="H420" s="3">
        <v>2499</v>
      </c>
      <c r="I420" s="3">
        <v>84</v>
      </c>
      <c r="J420" s="3">
        <v>266</v>
      </c>
      <c r="K420" s="3">
        <v>59</v>
      </c>
      <c r="L420" s="3">
        <v>51</v>
      </c>
      <c r="M420" s="3">
        <v>59</v>
      </c>
      <c r="N420" s="3">
        <v>35</v>
      </c>
      <c r="O420" s="3">
        <v>105</v>
      </c>
      <c r="P420" s="3">
        <v>26</v>
      </c>
    </row>
    <row r="421" spans="2:16" s="5" customFormat="1" ht="10.5" customHeight="1">
      <c r="B421" s="7" t="s">
        <v>159</v>
      </c>
      <c r="C421" s="5">
        <f>C420/11813</f>
        <v>0.7403707779564886</v>
      </c>
      <c r="D421" s="5">
        <f>D420/11813</f>
        <v>0.07229323626513164</v>
      </c>
      <c r="E421" s="5">
        <f>E420/11813</f>
        <v>0.18733598577837976</v>
      </c>
      <c r="F421" s="5">
        <f>F420/10400</f>
        <v>0.2841346153846154</v>
      </c>
      <c r="G421" s="5">
        <f>G420/10400</f>
        <v>0.4419230769230769</v>
      </c>
      <c r="H421" s="5">
        <f>H420/10400</f>
        <v>0.24028846153846153</v>
      </c>
      <c r="I421" s="5">
        <f>I420/10400</f>
        <v>0.008076923076923077</v>
      </c>
      <c r="J421" s="5">
        <f>J420/10400</f>
        <v>0.025576923076923077</v>
      </c>
      <c r="K421" s="5">
        <f>K420/169</f>
        <v>0.34911242603550297</v>
      </c>
      <c r="L421" s="5">
        <f>L420/169</f>
        <v>0.30177514792899407</v>
      </c>
      <c r="M421" s="5">
        <f>M420/169</f>
        <v>0.34911242603550297</v>
      </c>
      <c r="N421" s="5">
        <f>N420/35</f>
        <v>1</v>
      </c>
      <c r="O421" s="5">
        <f>O420/105</f>
        <v>1</v>
      </c>
      <c r="P421" s="5">
        <f>P420/26</f>
        <v>1</v>
      </c>
    </row>
    <row r="422" spans="2:16" ht="10.5" customHeight="1"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0.5" customHeight="1">
      <c r="A423" s="4" t="s">
        <v>154</v>
      </c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2:16" ht="10.5" customHeight="1">
      <c r="B424" s="6" t="s">
        <v>72</v>
      </c>
      <c r="C424" s="2">
        <v>21053</v>
      </c>
      <c r="D424" s="2">
        <v>1381</v>
      </c>
      <c r="E424" s="2">
        <v>3099</v>
      </c>
      <c r="F424" s="2">
        <v>16493</v>
      </c>
      <c r="G424" s="2">
        <v>27633</v>
      </c>
      <c r="H424" s="2">
        <v>9004</v>
      </c>
      <c r="I424" s="2">
        <v>390</v>
      </c>
      <c r="J424" s="2">
        <v>418</v>
      </c>
      <c r="K424" s="2">
        <v>141</v>
      </c>
      <c r="L424" s="2">
        <v>234</v>
      </c>
      <c r="M424" s="2">
        <v>156</v>
      </c>
      <c r="N424" s="2">
        <v>121</v>
      </c>
      <c r="O424" s="2">
        <v>375</v>
      </c>
      <c r="P424" s="2">
        <v>27</v>
      </c>
    </row>
    <row r="425" spans="1:16" ht="10.5" customHeight="1">
      <c r="A425" s="4" t="s">
        <v>76</v>
      </c>
      <c r="C425" s="3">
        <v>21053</v>
      </c>
      <c r="D425" s="3">
        <v>1381</v>
      </c>
      <c r="E425" s="3">
        <v>3099</v>
      </c>
      <c r="F425" s="3">
        <v>16493</v>
      </c>
      <c r="G425" s="3">
        <v>27633</v>
      </c>
      <c r="H425" s="3">
        <v>9004</v>
      </c>
      <c r="I425" s="3">
        <v>390</v>
      </c>
      <c r="J425" s="3">
        <v>418</v>
      </c>
      <c r="K425" s="3">
        <v>141</v>
      </c>
      <c r="L425" s="3">
        <v>234</v>
      </c>
      <c r="M425" s="3">
        <v>156</v>
      </c>
      <c r="N425" s="3">
        <v>121</v>
      </c>
      <c r="O425" s="3">
        <v>375</v>
      </c>
      <c r="P425" s="3">
        <v>27</v>
      </c>
    </row>
    <row r="426" spans="2:16" s="5" customFormat="1" ht="10.5" customHeight="1">
      <c r="B426" s="7" t="s">
        <v>159</v>
      </c>
      <c r="C426" s="5">
        <f>C425/25533</f>
        <v>0.8245407903497435</v>
      </c>
      <c r="D426" s="5">
        <f>D425/25533</f>
        <v>0.05408686797477774</v>
      </c>
      <c r="E426" s="5">
        <f>E425/25533</f>
        <v>0.12137234167547879</v>
      </c>
      <c r="F426" s="5">
        <f>F425/53938</f>
        <v>0.30577700322592605</v>
      </c>
      <c r="G426" s="5">
        <f>G425/53938</f>
        <v>0.5123104304942712</v>
      </c>
      <c r="H426" s="5">
        <f>H425/53938</f>
        <v>0.16693240387111127</v>
      </c>
      <c r="I426" s="5">
        <f>I425/53938</f>
        <v>0.007230523934888205</v>
      </c>
      <c r="J426" s="5">
        <f>J425/53938</f>
        <v>0.007749638473803256</v>
      </c>
      <c r="K426" s="5">
        <f>K425/531</f>
        <v>0.2655367231638418</v>
      </c>
      <c r="L426" s="5">
        <f>L425/531</f>
        <v>0.4406779661016949</v>
      </c>
      <c r="M426" s="5">
        <f>M425/531</f>
        <v>0.2937853107344633</v>
      </c>
      <c r="N426" s="5">
        <f>N425/121</f>
        <v>1</v>
      </c>
      <c r="O426" s="5">
        <f>O425/375</f>
        <v>1</v>
      </c>
      <c r="P426" s="5">
        <f>P425/27</f>
        <v>1</v>
      </c>
    </row>
    <row r="427" spans="2:16" ht="10.5" customHeight="1"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0.5" customHeight="1">
      <c r="A428" s="4" t="s">
        <v>155</v>
      </c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2:16" ht="10.5" customHeight="1">
      <c r="B429" s="6" t="s">
        <v>72</v>
      </c>
      <c r="C429" s="2">
        <v>9702</v>
      </c>
      <c r="D429" s="2">
        <v>965</v>
      </c>
      <c r="E429" s="2">
        <v>2457</v>
      </c>
      <c r="F429" s="2">
        <v>10411</v>
      </c>
      <c r="G429" s="2">
        <v>21292</v>
      </c>
      <c r="H429" s="2">
        <v>5925</v>
      </c>
      <c r="I429" s="2">
        <v>163</v>
      </c>
      <c r="J429" s="2">
        <v>351</v>
      </c>
      <c r="K429" s="2">
        <v>94</v>
      </c>
      <c r="L429" s="2">
        <v>133</v>
      </c>
      <c r="M429" s="2">
        <v>104</v>
      </c>
      <c r="N429" s="2">
        <v>71</v>
      </c>
      <c r="O429" s="2">
        <v>251</v>
      </c>
      <c r="P429" s="2">
        <v>23</v>
      </c>
    </row>
    <row r="430" spans="2:16" ht="10.5" customHeight="1">
      <c r="B430" s="6" t="s">
        <v>73</v>
      </c>
      <c r="C430" s="2">
        <v>5024</v>
      </c>
      <c r="D430" s="2">
        <v>588</v>
      </c>
      <c r="E430" s="2">
        <v>1700</v>
      </c>
      <c r="F430" s="2">
        <v>3228</v>
      </c>
      <c r="G430" s="2">
        <v>8675</v>
      </c>
      <c r="H430" s="2">
        <v>2109</v>
      </c>
      <c r="I430" s="2">
        <v>48</v>
      </c>
      <c r="J430" s="2">
        <v>245</v>
      </c>
      <c r="K430" s="2">
        <v>68</v>
      </c>
      <c r="L430" s="2">
        <v>108</v>
      </c>
      <c r="M430" s="2">
        <v>49</v>
      </c>
      <c r="N430" s="2">
        <v>22</v>
      </c>
      <c r="O430" s="2">
        <v>83</v>
      </c>
      <c r="P430" s="2">
        <v>13</v>
      </c>
    </row>
    <row r="431" spans="1:16" ht="10.5" customHeight="1">
      <c r="A431" s="4" t="s">
        <v>76</v>
      </c>
      <c r="C431" s="3">
        <v>14726</v>
      </c>
      <c r="D431" s="3">
        <v>1553</v>
      </c>
      <c r="E431" s="3">
        <v>4157</v>
      </c>
      <c r="F431" s="3">
        <v>13639</v>
      </c>
      <c r="G431" s="3">
        <v>29967</v>
      </c>
      <c r="H431" s="3">
        <v>8034</v>
      </c>
      <c r="I431" s="3">
        <v>211</v>
      </c>
      <c r="J431" s="3">
        <v>596</v>
      </c>
      <c r="K431" s="3">
        <v>162</v>
      </c>
      <c r="L431" s="3">
        <v>241</v>
      </c>
      <c r="M431" s="3">
        <v>153</v>
      </c>
      <c r="N431" s="3">
        <v>93</v>
      </c>
      <c r="O431" s="3">
        <v>334</v>
      </c>
      <c r="P431" s="3">
        <v>36</v>
      </c>
    </row>
    <row r="432" spans="2:16" s="5" customFormat="1" ht="10.5" customHeight="1">
      <c r="B432" s="7" t="s">
        <v>159</v>
      </c>
      <c r="C432" s="5">
        <f>C431/20436</f>
        <v>0.7205911137208847</v>
      </c>
      <c r="D432" s="5">
        <f>D431/20436</f>
        <v>0.07599334507731455</v>
      </c>
      <c r="E432" s="5">
        <f>E431/20436</f>
        <v>0.20341554120180075</v>
      </c>
      <c r="F432" s="5">
        <f>F431/52447</f>
        <v>0.2600530058916621</v>
      </c>
      <c r="G432" s="5">
        <f>G431/52447</f>
        <v>0.5713768185024882</v>
      </c>
      <c r="H432" s="5">
        <f>H431/52447</f>
        <v>0.15318321352984918</v>
      </c>
      <c r="I432" s="5">
        <f>I431/52447</f>
        <v>0.004023109043415257</v>
      </c>
      <c r="J432" s="5">
        <f>J431/52447</f>
        <v>0.011363853032585277</v>
      </c>
      <c r="K432" s="5">
        <f>K431/556</f>
        <v>0.29136690647482016</v>
      </c>
      <c r="L432" s="5">
        <f>L431/556</f>
        <v>0.43345323741007197</v>
      </c>
      <c r="M432" s="5">
        <f>M431/556</f>
        <v>0.2751798561151079</v>
      </c>
      <c r="N432" s="5">
        <f>N431/93</f>
        <v>1</v>
      </c>
      <c r="O432" s="5">
        <f>O431/334</f>
        <v>1</v>
      </c>
      <c r="P432" s="5">
        <f>P431/36</f>
        <v>1</v>
      </c>
    </row>
    <row r="433" spans="2:16" ht="10.5" customHeight="1"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0.5" customHeight="1">
      <c r="A434" s="4" t="s">
        <v>156</v>
      </c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2:16" ht="10.5" customHeight="1">
      <c r="B435" s="6" t="s">
        <v>72</v>
      </c>
      <c r="C435" s="2">
        <v>13433</v>
      </c>
      <c r="D435" s="2">
        <v>1602</v>
      </c>
      <c r="E435" s="2">
        <v>3558</v>
      </c>
      <c r="F435" s="2">
        <v>10404</v>
      </c>
      <c r="G435" s="2">
        <v>20761</v>
      </c>
      <c r="H435" s="2">
        <v>6229</v>
      </c>
      <c r="I435" s="2">
        <v>221</v>
      </c>
      <c r="J435" s="2">
        <v>678</v>
      </c>
      <c r="K435" s="2">
        <v>150</v>
      </c>
      <c r="L435" s="2">
        <v>151</v>
      </c>
      <c r="M435" s="2">
        <v>124</v>
      </c>
      <c r="N435" s="2">
        <v>132</v>
      </c>
      <c r="O435" s="2">
        <v>229</v>
      </c>
      <c r="P435" s="2">
        <v>35</v>
      </c>
    </row>
    <row r="436" spans="1:16" ht="10.5" customHeight="1">
      <c r="A436" s="4" t="s">
        <v>76</v>
      </c>
      <c r="C436" s="3">
        <v>13433</v>
      </c>
      <c r="D436" s="3">
        <v>1602</v>
      </c>
      <c r="E436" s="3">
        <v>3558</v>
      </c>
      <c r="F436" s="3">
        <v>10404</v>
      </c>
      <c r="G436" s="3">
        <v>20761</v>
      </c>
      <c r="H436" s="3">
        <v>6229</v>
      </c>
      <c r="I436" s="3">
        <v>221</v>
      </c>
      <c r="J436" s="3">
        <v>678</v>
      </c>
      <c r="K436" s="3">
        <v>150</v>
      </c>
      <c r="L436" s="3">
        <v>151</v>
      </c>
      <c r="M436" s="3">
        <v>124</v>
      </c>
      <c r="N436" s="3">
        <v>132</v>
      </c>
      <c r="O436" s="3">
        <v>229</v>
      </c>
      <c r="P436" s="3">
        <v>35</v>
      </c>
    </row>
    <row r="437" spans="2:16" s="5" customFormat="1" ht="10.5" customHeight="1">
      <c r="B437" s="7" t="s">
        <v>159</v>
      </c>
      <c r="C437" s="5">
        <f>C436/18593</f>
        <v>0.7224762007207013</v>
      </c>
      <c r="D437" s="5">
        <f>D436/18593</f>
        <v>0.08616145861345667</v>
      </c>
      <c r="E437" s="5">
        <f>E436/18593</f>
        <v>0.19136234066584198</v>
      </c>
      <c r="F437" s="5">
        <f>F436/38293</f>
        <v>0.2716945655863996</v>
      </c>
      <c r="G437" s="5">
        <f>G436/38293</f>
        <v>0.542161752800773</v>
      </c>
      <c r="H437" s="5">
        <f>H436/38293</f>
        <v>0.16266680594364505</v>
      </c>
      <c r="I437" s="5">
        <f>I436/38293</f>
        <v>0.005771289791867965</v>
      </c>
      <c r="J437" s="5">
        <f>J436/38293</f>
        <v>0.01770558587731439</v>
      </c>
      <c r="K437" s="5">
        <f>K436/425</f>
        <v>0.35294117647058826</v>
      </c>
      <c r="L437" s="5">
        <f>L436/425</f>
        <v>0.3552941176470588</v>
      </c>
      <c r="M437" s="5">
        <f>M436/425</f>
        <v>0.2917647058823529</v>
      </c>
      <c r="N437" s="5">
        <f>N436/132</f>
        <v>1</v>
      </c>
      <c r="O437" s="5">
        <f>O436/229</f>
        <v>1</v>
      </c>
      <c r="P437" s="5">
        <f>P436/35</f>
        <v>1</v>
      </c>
    </row>
    <row r="438" spans="2:16" ht="10.5" customHeight="1"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0.5" customHeight="1">
      <c r="A439" s="4" t="s">
        <v>77</v>
      </c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2:16" ht="10.5" customHeight="1">
      <c r="B440" s="6" t="s">
        <v>72</v>
      </c>
      <c r="C440" s="2">
        <v>9711</v>
      </c>
      <c r="D440" s="2">
        <v>853</v>
      </c>
      <c r="E440" s="2">
        <v>1745</v>
      </c>
      <c r="F440" s="2">
        <v>8724</v>
      </c>
      <c r="G440" s="2">
        <v>18221</v>
      </c>
      <c r="H440" s="2">
        <v>5491</v>
      </c>
      <c r="I440" s="2">
        <v>137</v>
      </c>
      <c r="J440" s="2">
        <v>300</v>
      </c>
      <c r="K440" s="2">
        <v>89</v>
      </c>
      <c r="L440" s="2">
        <v>139</v>
      </c>
      <c r="M440" s="2">
        <v>101</v>
      </c>
      <c r="N440" s="2">
        <v>80</v>
      </c>
      <c r="O440" s="2">
        <v>202</v>
      </c>
      <c r="P440" s="2">
        <v>9</v>
      </c>
    </row>
    <row r="441" spans="2:16" ht="10.5" customHeight="1">
      <c r="B441" s="6" t="s">
        <v>74</v>
      </c>
      <c r="C441" s="2">
        <v>7643</v>
      </c>
      <c r="D441" s="2">
        <v>582</v>
      </c>
      <c r="E441" s="2">
        <v>1554</v>
      </c>
      <c r="F441" s="2">
        <v>3746</v>
      </c>
      <c r="G441" s="2">
        <v>9296</v>
      </c>
      <c r="H441" s="2">
        <v>2258</v>
      </c>
      <c r="I441" s="2">
        <v>97</v>
      </c>
      <c r="J441" s="2">
        <v>220</v>
      </c>
      <c r="K441" s="2">
        <v>105</v>
      </c>
      <c r="L441" s="2">
        <v>133</v>
      </c>
      <c r="M441" s="2">
        <v>81</v>
      </c>
      <c r="N441" s="2">
        <v>60</v>
      </c>
      <c r="O441" s="2">
        <v>105</v>
      </c>
      <c r="P441" s="2">
        <v>13</v>
      </c>
    </row>
    <row r="442" spans="1:16" ht="10.5" customHeight="1">
      <c r="A442" s="4" t="s">
        <v>76</v>
      </c>
      <c r="C442" s="3">
        <v>17354</v>
      </c>
      <c r="D442" s="3">
        <v>1435</v>
      </c>
      <c r="E442" s="3">
        <v>3299</v>
      </c>
      <c r="F442" s="3">
        <v>12470</v>
      </c>
      <c r="G442" s="3">
        <v>27517</v>
      </c>
      <c r="H442" s="3">
        <v>7749</v>
      </c>
      <c r="I442" s="3">
        <v>234</v>
      </c>
      <c r="J442" s="3">
        <v>520</v>
      </c>
      <c r="K442" s="3">
        <v>194</v>
      </c>
      <c r="L442" s="3">
        <v>272</v>
      </c>
      <c r="M442" s="3">
        <v>182</v>
      </c>
      <c r="N442" s="3">
        <v>140</v>
      </c>
      <c r="O442" s="3">
        <v>307</v>
      </c>
      <c r="P442" s="3">
        <v>22</v>
      </c>
    </row>
    <row r="443" spans="2:16" s="5" customFormat="1" ht="10.5" customHeight="1">
      <c r="B443" s="7" t="s">
        <v>159</v>
      </c>
      <c r="C443" s="5">
        <f>C442/22088</f>
        <v>0.7856754798985874</v>
      </c>
      <c r="D443" s="5">
        <f>D442/22088</f>
        <v>0.06496740311481347</v>
      </c>
      <c r="E443" s="5">
        <f>E442/22088</f>
        <v>0.14935711698659906</v>
      </c>
      <c r="F443" s="5">
        <f>F442/48490</f>
        <v>0.25716642606723034</v>
      </c>
      <c r="G443" s="5">
        <f>G442/48490</f>
        <v>0.5674778304805115</v>
      </c>
      <c r="H443" s="5">
        <f>H442/48490</f>
        <v>0.15980614559703032</v>
      </c>
      <c r="I443" s="5">
        <f>I442/48490</f>
        <v>0.00482573726541555</v>
      </c>
      <c r="J443" s="5">
        <f>J442/48490</f>
        <v>0.010723860589812333</v>
      </c>
      <c r="K443" s="5">
        <f>K442/648</f>
        <v>0.2993827160493827</v>
      </c>
      <c r="L443" s="5">
        <f>L442/648</f>
        <v>0.41975308641975306</v>
      </c>
      <c r="M443" s="5">
        <f>M442/648</f>
        <v>0.2808641975308642</v>
      </c>
      <c r="N443" s="5">
        <f>N442/140</f>
        <v>1</v>
      </c>
      <c r="O443" s="5">
        <f>O442/307</f>
        <v>1</v>
      </c>
      <c r="P443" s="5">
        <f>P442/22</f>
        <v>1</v>
      </c>
    </row>
    <row r="444" spans="2:16" ht="10.5" customHeight="1"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0.5" customHeight="1">
      <c r="A445" s="4" t="s">
        <v>78</v>
      </c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2:16" ht="10.5" customHeight="1">
      <c r="B446" s="6" t="s">
        <v>74</v>
      </c>
      <c r="C446" s="2">
        <v>22834</v>
      </c>
      <c r="D446" s="2">
        <v>1407</v>
      </c>
      <c r="E446" s="2">
        <v>4194</v>
      </c>
      <c r="F446" s="2">
        <v>9909</v>
      </c>
      <c r="G446" s="2">
        <v>33542</v>
      </c>
      <c r="H446" s="2">
        <v>7239</v>
      </c>
      <c r="I446" s="2">
        <v>232</v>
      </c>
      <c r="J446" s="2">
        <v>617</v>
      </c>
      <c r="K446" s="2">
        <v>241</v>
      </c>
      <c r="L446" s="2">
        <v>296</v>
      </c>
      <c r="M446" s="2">
        <v>204</v>
      </c>
      <c r="N446" s="2">
        <v>207</v>
      </c>
      <c r="O446" s="2">
        <v>359</v>
      </c>
      <c r="P446" s="2">
        <v>45</v>
      </c>
    </row>
    <row r="447" spans="1:16" ht="10.5" customHeight="1">
      <c r="A447" s="4" t="s">
        <v>76</v>
      </c>
      <c r="C447" s="3">
        <v>22834</v>
      </c>
      <c r="D447" s="3">
        <v>1407</v>
      </c>
      <c r="E447" s="3">
        <v>4194</v>
      </c>
      <c r="F447" s="3">
        <v>9909</v>
      </c>
      <c r="G447" s="3">
        <v>33542</v>
      </c>
      <c r="H447" s="3">
        <v>7239</v>
      </c>
      <c r="I447" s="3">
        <v>232</v>
      </c>
      <c r="J447" s="3">
        <v>617</v>
      </c>
      <c r="K447" s="3">
        <v>241</v>
      </c>
      <c r="L447" s="3">
        <v>296</v>
      </c>
      <c r="M447" s="3">
        <v>204</v>
      </c>
      <c r="N447" s="3">
        <v>207</v>
      </c>
      <c r="O447" s="3">
        <v>359</v>
      </c>
      <c r="P447" s="3">
        <v>45</v>
      </c>
    </row>
    <row r="448" spans="2:16" s="5" customFormat="1" ht="10.5" customHeight="1">
      <c r="B448" s="7" t="s">
        <v>159</v>
      </c>
      <c r="C448" s="5">
        <f>C447/28435</f>
        <v>0.8030244417091612</v>
      </c>
      <c r="D448" s="5">
        <f>D447/28435</f>
        <v>0.049481273078952</v>
      </c>
      <c r="E448" s="5">
        <f>E447/28435</f>
        <v>0.14749428521188676</v>
      </c>
      <c r="F448" s="5">
        <f>F447/51539</f>
        <v>0.1922621703952347</v>
      </c>
      <c r="G448" s="5">
        <f>G447/51539</f>
        <v>0.6508081258852519</v>
      </c>
      <c r="H448" s="5">
        <f>H447/51539</f>
        <v>0.14045674149673062</v>
      </c>
      <c r="I448" s="5">
        <f>I447/51539</f>
        <v>0.004501445507285744</v>
      </c>
      <c r="J448" s="5">
        <f>J447/51539</f>
        <v>0.011971516715497002</v>
      </c>
      <c r="K448" s="5">
        <f>K447/741</f>
        <v>0.3252361673414305</v>
      </c>
      <c r="L448" s="5">
        <f>L447/741</f>
        <v>0.39946018893387314</v>
      </c>
      <c r="M448" s="5">
        <f>M447/741</f>
        <v>0.27530364372469635</v>
      </c>
      <c r="N448" s="5">
        <f>N447/207</f>
        <v>1</v>
      </c>
      <c r="O448" s="5">
        <f>O447/359</f>
        <v>1</v>
      </c>
      <c r="P448" s="5">
        <f>P447/45</f>
        <v>1</v>
      </c>
    </row>
    <row r="449" spans="2:16" ht="10.5" customHeight="1"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0.5" customHeight="1">
      <c r="A450" s="4" t="s">
        <v>79</v>
      </c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2:16" ht="10.5" customHeight="1">
      <c r="B451" s="6" t="s">
        <v>74</v>
      </c>
      <c r="C451" s="2">
        <v>23864</v>
      </c>
      <c r="D451" s="2">
        <v>1439</v>
      </c>
      <c r="E451" s="2">
        <v>3414</v>
      </c>
      <c r="F451" s="2">
        <v>9860</v>
      </c>
      <c r="G451" s="2">
        <v>34402</v>
      </c>
      <c r="H451" s="2">
        <v>7220</v>
      </c>
      <c r="I451" s="2">
        <v>403</v>
      </c>
      <c r="J451" s="2">
        <v>556</v>
      </c>
      <c r="K451" s="2">
        <v>187</v>
      </c>
      <c r="L451" s="2">
        <v>236</v>
      </c>
      <c r="M451" s="2">
        <v>168</v>
      </c>
      <c r="N451" s="2">
        <v>150</v>
      </c>
      <c r="O451" s="2">
        <v>361</v>
      </c>
      <c r="P451" s="2">
        <v>29</v>
      </c>
    </row>
    <row r="452" spans="1:16" ht="10.5" customHeight="1">
      <c r="A452" s="4" t="s">
        <v>76</v>
      </c>
      <c r="C452" s="3">
        <v>23864</v>
      </c>
      <c r="D452" s="3">
        <v>1439</v>
      </c>
      <c r="E452" s="3">
        <v>3414</v>
      </c>
      <c r="F452" s="3">
        <v>9860</v>
      </c>
      <c r="G452" s="3">
        <v>34402</v>
      </c>
      <c r="H452" s="3">
        <v>7220</v>
      </c>
      <c r="I452" s="3">
        <v>403</v>
      </c>
      <c r="J452" s="3">
        <v>556</v>
      </c>
      <c r="K452" s="3">
        <v>187</v>
      </c>
      <c r="L452" s="3">
        <v>236</v>
      </c>
      <c r="M452" s="3">
        <v>168</v>
      </c>
      <c r="N452" s="3">
        <v>150</v>
      </c>
      <c r="O452" s="3">
        <v>361</v>
      </c>
      <c r="P452" s="3">
        <v>29</v>
      </c>
    </row>
    <row r="453" spans="2:16" s="5" customFormat="1" ht="10.5" customHeight="1">
      <c r="B453" s="7" t="s">
        <v>159</v>
      </c>
      <c r="C453" s="5">
        <f>C452/28717</f>
        <v>0.8310060243061601</v>
      </c>
      <c r="D453" s="5">
        <f>D452/28717</f>
        <v>0.050109691123724626</v>
      </c>
      <c r="E453" s="5">
        <f>E452/28717</f>
        <v>0.11888428457011527</v>
      </c>
      <c r="F453" s="5">
        <f>F452/52441</f>
        <v>0.18802082340153697</v>
      </c>
      <c r="G453" s="5">
        <f>G452/52441</f>
        <v>0.6560134246105147</v>
      </c>
      <c r="H453" s="5">
        <f>H452/52441</f>
        <v>0.13767853397151084</v>
      </c>
      <c r="I453" s="5">
        <f>I452/52441</f>
        <v>0.007684826757689594</v>
      </c>
      <c r="J453" s="5">
        <f>J452/52441</f>
        <v>0.010602391258747927</v>
      </c>
      <c r="K453" s="5">
        <f>K452/591</f>
        <v>0.3164128595600677</v>
      </c>
      <c r="L453" s="5">
        <f>L452/591</f>
        <v>0.3993231810490694</v>
      </c>
      <c r="M453" s="5">
        <f>M452/591</f>
        <v>0.28426395939086296</v>
      </c>
      <c r="N453" s="5">
        <f>N452/150</f>
        <v>1</v>
      </c>
      <c r="O453" s="5">
        <f>O452/361</f>
        <v>1</v>
      </c>
      <c r="P453" s="5">
        <f>P452/29</f>
        <v>1</v>
      </c>
    </row>
    <row r="454" spans="2:16" ht="10.5" customHeight="1"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0.5" customHeight="1">
      <c r="A455" s="4" t="s">
        <v>80</v>
      </c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2:16" ht="10.5" customHeight="1">
      <c r="B456" s="6" t="s">
        <v>74</v>
      </c>
      <c r="C456" s="2">
        <v>31287</v>
      </c>
      <c r="D456" s="2">
        <v>1505</v>
      </c>
      <c r="E456" s="2">
        <v>3963</v>
      </c>
      <c r="F456" s="2">
        <v>5995</v>
      </c>
      <c r="G456" s="2">
        <v>19587</v>
      </c>
      <c r="H456" s="2">
        <v>4165</v>
      </c>
      <c r="I456" s="2">
        <v>213</v>
      </c>
      <c r="J456" s="2">
        <v>591</v>
      </c>
      <c r="K456" s="2">
        <v>166</v>
      </c>
      <c r="L456" s="2">
        <v>270</v>
      </c>
      <c r="M456" s="2">
        <v>201</v>
      </c>
      <c r="N456" s="2">
        <v>361</v>
      </c>
      <c r="O456" s="2">
        <v>416</v>
      </c>
      <c r="P456" s="2">
        <v>72</v>
      </c>
    </row>
    <row r="457" spans="1:16" ht="10.5" customHeight="1">
      <c r="A457" s="4" t="s">
        <v>76</v>
      </c>
      <c r="C457" s="3">
        <v>31287</v>
      </c>
      <c r="D457" s="3">
        <v>1505</v>
      </c>
      <c r="E457" s="3">
        <v>3963</v>
      </c>
      <c r="F457" s="3">
        <v>5995</v>
      </c>
      <c r="G457" s="3">
        <v>19587</v>
      </c>
      <c r="H457" s="3">
        <v>4165</v>
      </c>
      <c r="I457" s="3">
        <v>213</v>
      </c>
      <c r="J457" s="3">
        <v>591</v>
      </c>
      <c r="K457" s="3">
        <v>166</v>
      </c>
      <c r="L457" s="3">
        <v>270</v>
      </c>
      <c r="M457" s="3">
        <v>201</v>
      </c>
      <c r="N457" s="3">
        <v>361</v>
      </c>
      <c r="O457" s="3">
        <v>416</v>
      </c>
      <c r="P457" s="3">
        <v>72</v>
      </c>
    </row>
    <row r="458" spans="2:16" s="5" customFormat="1" ht="10.5" customHeight="1">
      <c r="B458" s="7" t="s">
        <v>159</v>
      </c>
      <c r="C458" s="5">
        <f>C457/36755</f>
        <v>0.8512311250170045</v>
      </c>
      <c r="D458" s="5">
        <f>D457/36755</f>
        <v>0.040946809957828866</v>
      </c>
      <c r="E458" s="5">
        <f>E457/36755</f>
        <v>0.10782206502516664</v>
      </c>
      <c r="F458" s="5">
        <f>F457/30551</f>
        <v>0.196229255998167</v>
      </c>
      <c r="G458" s="5">
        <f>G457/30551</f>
        <v>0.6411246767699912</v>
      </c>
      <c r="H458" s="5">
        <f>H457/30551</f>
        <v>0.1363294163857157</v>
      </c>
      <c r="I458" s="5">
        <f>I457/30551</f>
        <v>0.006971948545055808</v>
      </c>
      <c r="J458" s="5">
        <f>J457/30551</f>
        <v>0.01934470230107034</v>
      </c>
      <c r="K458" s="5">
        <f>K457/637</f>
        <v>0.260596546310832</v>
      </c>
      <c r="L458" s="5">
        <f>L457/637</f>
        <v>0.423861852433281</v>
      </c>
      <c r="M458" s="5">
        <f>M457/637</f>
        <v>0.315541601255887</v>
      </c>
      <c r="N458" s="5">
        <f>N457/361</f>
        <v>1</v>
      </c>
      <c r="O458" s="5">
        <f>O457/416</f>
        <v>1</v>
      </c>
      <c r="P458" s="5">
        <f>P457/72</f>
        <v>1</v>
      </c>
    </row>
    <row r="459" spans="2:16" ht="10.5" customHeight="1"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0.5" customHeight="1">
      <c r="A460" s="4" t="s">
        <v>81</v>
      </c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2:16" ht="10.5" customHeight="1">
      <c r="B461" s="6" t="s">
        <v>74</v>
      </c>
      <c r="C461" s="2">
        <v>18015</v>
      </c>
      <c r="D461" s="2">
        <v>1497</v>
      </c>
      <c r="E461" s="2">
        <v>5002</v>
      </c>
      <c r="F461" s="2">
        <v>13300</v>
      </c>
      <c r="G461" s="2">
        <v>31247</v>
      </c>
      <c r="H461" s="2">
        <v>5952</v>
      </c>
      <c r="I461" s="2">
        <v>260</v>
      </c>
      <c r="J461" s="2">
        <v>866</v>
      </c>
      <c r="K461" s="2">
        <v>246</v>
      </c>
      <c r="L461" s="2">
        <v>364</v>
      </c>
      <c r="M461" s="2">
        <v>223</v>
      </c>
      <c r="N461" s="2">
        <v>143</v>
      </c>
      <c r="O461" s="2">
        <v>335</v>
      </c>
      <c r="P461" s="2">
        <v>45</v>
      </c>
    </row>
    <row r="462" spans="1:16" ht="10.5" customHeight="1">
      <c r="A462" s="4" t="s">
        <v>76</v>
      </c>
      <c r="C462" s="3">
        <v>18015</v>
      </c>
      <c r="D462" s="3">
        <v>1497</v>
      </c>
      <c r="E462" s="3">
        <v>5002</v>
      </c>
      <c r="F462" s="3">
        <v>13300</v>
      </c>
      <c r="G462" s="3">
        <v>31247</v>
      </c>
      <c r="H462" s="3">
        <v>5952</v>
      </c>
      <c r="I462" s="3">
        <v>260</v>
      </c>
      <c r="J462" s="3">
        <v>866</v>
      </c>
      <c r="K462" s="3">
        <v>246</v>
      </c>
      <c r="L462" s="3">
        <v>364</v>
      </c>
      <c r="M462" s="3">
        <v>223</v>
      </c>
      <c r="N462" s="3">
        <v>143</v>
      </c>
      <c r="O462" s="3">
        <v>335</v>
      </c>
      <c r="P462" s="3">
        <v>45</v>
      </c>
    </row>
    <row r="463" spans="2:16" s="5" customFormat="1" ht="10.5" customHeight="1">
      <c r="B463" s="7" t="s">
        <v>159</v>
      </c>
      <c r="C463" s="5">
        <f>C462/24514</f>
        <v>0.7348861874847026</v>
      </c>
      <c r="D463" s="5">
        <f>D462/24514</f>
        <v>0.06106714530472383</v>
      </c>
      <c r="E463" s="5">
        <f>E462/24514</f>
        <v>0.20404666721057355</v>
      </c>
      <c r="F463" s="5">
        <f>F462/51625</f>
        <v>0.2576271186440678</v>
      </c>
      <c r="G463" s="5">
        <f>G462/51625</f>
        <v>0.605268765133172</v>
      </c>
      <c r="H463" s="5">
        <f>H462/51625</f>
        <v>0.11529297820823245</v>
      </c>
      <c r="I463" s="5">
        <f>I462/51625</f>
        <v>0.005036319612590799</v>
      </c>
      <c r="J463" s="5">
        <f>J462/51625</f>
        <v>0.016774818401937047</v>
      </c>
      <c r="K463" s="5">
        <f>K462/833</f>
        <v>0.29531812725090034</v>
      </c>
      <c r="L463" s="5">
        <f>L462/833</f>
        <v>0.4369747899159664</v>
      </c>
      <c r="M463" s="5">
        <f>M462/833</f>
        <v>0.26770708283313327</v>
      </c>
      <c r="N463" s="5">
        <f>N462/143</f>
        <v>1</v>
      </c>
      <c r="O463" s="5">
        <f>O462/335</f>
        <v>1</v>
      </c>
      <c r="P463" s="5">
        <f>P462/45</f>
        <v>1</v>
      </c>
    </row>
    <row r="464" spans="2:16" ht="10.5" customHeight="1"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0.5" customHeight="1">
      <c r="A465" s="4" t="s">
        <v>82</v>
      </c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2:16" ht="10.5" customHeight="1">
      <c r="B466" s="6" t="s">
        <v>74</v>
      </c>
      <c r="C466" s="2">
        <v>25878</v>
      </c>
      <c r="D466" s="2">
        <v>1688</v>
      </c>
      <c r="E466" s="2">
        <v>4718</v>
      </c>
      <c r="F466" s="2">
        <v>7317</v>
      </c>
      <c r="G466" s="2">
        <v>18323</v>
      </c>
      <c r="H466" s="2">
        <v>4101</v>
      </c>
      <c r="I466" s="2">
        <v>169</v>
      </c>
      <c r="J466" s="2">
        <v>707</v>
      </c>
      <c r="K466" s="2">
        <v>173</v>
      </c>
      <c r="L466" s="2">
        <v>209</v>
      </c>
      <c r="M466" s="2">
        <v>167</v>
      </c>
      <c r="N466" s="2">
        <v>135</v>
      </c>
      <c r="O466" s="2">
        <v>232</v>
      </c>
      <c r="P466" s="2">
        <v>52</v>
      </c>
    </row>
    <row r="467" spans="1:16" ht="10.5" customHeight="1">
      <c r="A467" s="4" t="s">
        <v>76</v>
      </c>
      <c r="C467" s="3">
        <v>25878</v>
      </c>
      <c r="D467" s="3">
        <v>1688</v>
      </c>
      <c r="E467" s="3">
        <v>4718</v>
      </c>
      <c r="F467" s="3">
        <v>7317</v>
      </c>
      <c r="G467" s="3">
        <v>18323</v>
      </c>
      <c r="H467" s="3">
        <v>4101</v>
      </c>
      <c r="I467" s="3">
        <v>169</v>
      </c>
      <c r="J467" s="3">
        <v>707</v>
      </c>
      <c r="K467" s="3">
        <v>173</v>
      </c>
      <c r="L467" s="3">
        <v>209</v>
      </c>
      <c r="M467" s="3">
        <v>167</v>
      </c>
      <c r="N467" s="3">
        <v>135</v>
      </c>
      <c r="O467" s="3">
        <v>232</v>
      </c>
      <c r="P467" s="3">
        <v>52</v>
      </c>
    </row>
    <row r="468" spans="2:16" s="5" customFormat="1" ht="10.5" customHeight="1">
      <c r="B468" s="7" t="s">
        <v>159</v>
      </c>
      <c r="C468" s="5">
        <f>C467/32284</f>
        <v>0.8015735348779581</v>
      </c>
      <c r="D468" s="5">
        <f>D467/32284</f>
        <v>0.052285962086482465</v>
      </c>
      <c r="E468" s="5">
        <f>E467/32284</f>
        <v>0.14614050303555942</v>
      </c>
      <c r="F468" s="5">
        <f>F467/30617</f>
        <v>0.23898487768233334</v>
      </c>
      <c r="G468" s="5">
        <f>G467/30617</f>
        <v>0.5984583727994252</v>
      </c>
      <c r="H468" s="5">
        <f>H467/30617</f>
        <v>0.13394519384655584</v>
      </c>
      <c r="I468" s="5">
        <f>I467/30617</f>
        <v>0.005519809256295522</v>
      </c>
      <c r="J468" s="5">
        <f>J467/30617</f>
        <v>0.023091746415390142</v>
      </c>
      <c r="K468" s="5">
        <f>K467/549</f>
        <v>0.3151183970856102</v>
      </c>
      <c r="L468" s="5">
        <f>L467/549</f>
        <v>0.3806921675774135</v>
      </c>
      <c r="M468" s="5">
        <f>M467/549</f>
        <v>0.30418943533697634</v>
      </c>
      <c r="N468" s="5">
        <f>N467/135</f>
        <v>1</v>
      </c>
      <c r="O468" s="5">
        <f>O467/232</f>
        <v>1</v>
      </c>
      <c r="P468" s="5">
        <f>P467/52</f>
        <v>1</v>
      </c>
    </row>
    <row r="469" spans="2:16" ht="10.5" customHeight="1"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0.5" customHeight="1">
      <c r="A470" s="4" t="s">
        <v>83</v>
      </c>
      <c r="B470" s="8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2:16" ht="10.5" customHeight="1">
      <c r="B471" s="6" t="s">
        <v>74</v>
      </c>
      <c r="C471" s="2">
        <v>18389</v>
      </c>
      <c r="D471" s="2">
        <v>1168</v>
      </c>
      <c r="E471" s="2">
        <v>4940</v>
      </c>
      <c r="F471" s="2">
        <v>3274</v>
      </c>
      <c r="G471" s="2">
        <v>9223</v>
      </c>
      <c r="H471" s="2">
        <v>2634</v>
      </c>
      <c r="I471" s="2">
        <v>111</v>
      </c>
      <c r="J471" s="2">
        <v>749</v>
      </c>
      <c r="K471" s="2">
        <v>129</v>
      </c>
      <c r="L471" s="2">
        <v>175</v>
      </c>
      <c r="M471" s="2">
        <v>149</v>
      </c>
      <c r="N471" s="2">
        <v>88</v>
      </c>
      <c r="O471" s="2">
        <v>107</v>
      </c>
      <c r="P471" s="2">
        <v>47</v>
      </c>
    </row>
    <row r="472" spans="1:16" ht="10.5" customHeight="1">
      <c r="A472" s="4" t="s">
        <v>76</v>
      </c>
      <c r="C472" s="3">
        <v>18389</v>
      </c>
      <c r="D472" s="3">
        <v>1168</v>
      </c>
      <c r="E472" s="3">
        <v>4940</v>
      </c>
      <c r="F472" s="3">
        <v>3274</v>
      </c>
      <c r="G472" s="3">
        <v>9223</v>
      </c>
      <c r="H472" s="3">
        <v>2634</v>
      </c>
      <c r="I472" s="3">
        <v>111</v>
      </c>
      <c r="J472" s="3">
        <v>749</v>
      </c>
      <c r="K472" s="3">
        <v>129</v>
      </c>
      <c r="L472" s="3">
        <v>175</v>
      </c>
      <c r="M472" s="3">
        <v>149</v>
      </c>
      <c r="N472" s="3">
        <v>88</v>
      </c>
      <c r="O472" s="3">
        <v>107</v>
      </c>
      <c r="P472" s="3">
        <v>47</v>
      </c>
    </row>
    <row r="473" spans="2:16" s="5" customFormat="1" ht="10.5" customHeight="1">
      <c r="B473" s="7" t="s">
        <v>159</v>
      </c>
      <c r="C473" s="5">
        <f>C472/24497</f>
        <v>0.7506633465322284</v>
      </c>
      <c r="D473" s="5">
        <f>D472/24497</f>
        <v>0.04767930767032698</v>
      </c>
      <c r="E473" s="5">
        <f>E472/24497</f>
        <v>0.2016573457974446</v>
      </c>
      <c r="F473" s="5">
        <f>F472/15991</f>
        <v>0.20474016634356826</v>
      </c>
      <c r="G473" s="5">
        <f>G472/15991</f>
        <v>0.576761928584829</v>
      </c>
      <c r="H473" s="5">
        <f>H472/15991</f>
        <v>0.16471765368019511</v>
      </c>
      <c r="I473" s="5">
        <f>I472/15991</f>
        <v>0.00694140454005378</v>
      </c>
      <c r="J473" s="5">
        <f>J472/15991</f>
        <v>0.04683884685135389</v>
      </c>
      <c r="K473" s="5">
        <f>K472/453</f>
        <v>0.2847682119205298</v>
      </c>
      <c r="L473" s="5">
        <f>L472/453</f>
        <v>0.38631346578366443</v>
      </c>
      <c r="M473" s="5">
        <f>M472/453</f>
        <v>0.32891832229580575</v>
      </c>
      <c r="N473" s="5">
        <f>N472/88</f>
        <v>1</v>
      </c>
      <c r="O473" s="5">
        <f>O472/107</f>
        <v>1</v>
      </c>
      <c r="P473" s="5">
        <f>P472/47</f>
        <v>1</v>
      </c>
    </row>
    <row r="474" spans="2:16" ht="10.5" customHeight="1"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0.5" customHeight="1">
      <c r="A475" s="4" t="s">
        <v>84</v>
      </c>
      <c r="B475" s="8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2:16" ht="10.5" customHeight="1">
      <c r="B476" s="6" t="s">
        <v>75</v>
      </c>
      <c r="C476" s="2">
        <v>5143</v>
      </c>
      <c r="D476" s="2">
        <v>502</v>
      </c>
      <c r="E476" s="2">
        <v>2263</v>
      </c>
      <c r="F476" s="2">
        <v>1260</v>
      </c>
      <c r="G476" s="2">
        <v>2488</v>
      </c>
      <c r="H476" s="2">
        <v>1129</v>
      </c>
      <c r="I476" s="2">
        <v>58</v>
      </c>
      <c r="J476" s="2">
        <v>420</v>
      </c>
      <c r="K476" s="2">
        <v>71</v>
      </c>
      <c r="L476" s="2">
        <v>46</v>
      </c>
      <c r="M476" s="2">
        <v>37</v>
      </c>
      <c r="N476" s="2">
        <v>13</v>
      </c>
      <c r="O476" s="2">
        <v>30</v>
      </c>
      <c r="P476" s="2">
        <v>10</v>
      </c>
    </row>
    <row r="477" spans="2:16" ht="10.5" customHeight="1">
      <c r="B477" s="6" t="s">
        <v>73</v>
      </c>
      <c r="C477" s="2">
        <v>14360</v>
      </c>
      <c r="D477" s="2">
        <v>832</v>
      </c>
      <c r="E477" s="2">
        <v>2668</v>
      </c>
      <c r="F477" s="2">
        <v>3288</v>
      </c>
      <c r="G477" s="2">
        <v>11182</v>
      </c>
      <c r="H477" s="2">
        <v>4407</v>
      </c>
      <c r="I477" s="2">
        <v>179</v>
      </c>
      <c r="J477" s="2">
        <v>528</v>
      </c>
      <c r="K477" s="2">
        <v>127</v>
      </c>
      <c r="L477" s="2">
        <v>154</v>
      </c>
      <c r="M477" s="2">
        <v>88</v>
      </c>
      <c r="N477" s="2">
        <v>42</v>
      </c>
      <c r="O477" s="2">
        <v>96</v>
      </c>
      <c r="P477" s="2">
        <v>18</v>
      </c>
    </row>
    <row r="478" spans="1:16" ht="10.5" customHeight="1">
      <c r="A478" s="4" t="s">
        <v>76</v>
      </c>
      <c r="C478" s="3">
        <v>19503</v>
      </c>
      <c r="D478" s="3">
        <v>1334</v>
      </c>
      <c r="E478" s="3">
        <v>4931</v>
      </c>
      <c r="F478" s="3">
        <v>4548</v>
      </c>
      <c r="G478" s="3">
        <v>13670</v>
      </c>
      <c r="H478" s="3">
        <v>5536</v>
      </c>
      <c r="I478" s="3">
        <v>237</v>
      </c>
      <c r="J478" s="3">
        <v>948</v>
      </c>
      <c r="K478" s="3">
        <v>198</v>
      </c>
      <c r="L478" s="3">
        <v>200</v>
      </c>
      <c r="M478" s="3">
        <v>125</v>
      </c>
      <c r="N478" s="3">
        <v>55</v>
      </c>
      <c r="O478" s="3">
        <v>126</v>
      </c>
      <c r="P478" s="3">
        <v>28</v>
      </c>
    </row>
    <row r="479" spans="2:16" s="5" customFormat="1" ht="10.5" customHeight="1">
      <c r="B479" s="7" t="s">
        <v>159</v>
      </c>
      <c r="C479" s="5">
        <f>C478/25768</f>
        <v>0.7568689847873331</v>
      </c>
      <c r="D479" s="5">
        <f>D478/25768</f>
        <v>0.05176963675877057</v>
      </c>
      <c r="E479" s="5">
        <f>E478/25768</f>
        <v>0.1913613784538963</v>
      </c>
      <c r="F479" s="5">
        <f>F478/24939</f>
        <v>0.18236497052808853</v>
      </c>
      <c r="G479" s="5">
        <f>G478/24939</f>
        <v>0.5481374553911544</v>
      </c>
      <c r="H479" s="5">
        <f>H478/24939</f>
        <v>0.22198163518986327</v>
      </c>
      <c r="I479" s="5">
        <f>I478/24939</f>
        <v>0.009503187778178756</v>
      </c>
      <c r="J479" s="5">
        <f>J478/24939</f>
        <v>0.03801275111271502</v>
      </c>
      <c r="K479" s="5">
        <f>K478/523</f>
        <v>0.37858508604206503</v>
      </c>
      <c r="L479" s="5">
        <f>L478/523</f>
        <v>0.3824091778202677</v>
      </c>
      <c r="M479" s="5">
        <f>M478/523</f>
        <v>0.2390057361376673</v>
      </c>
      <c r="N479" s="5">
        <f>N478/55</f>
        <v>1</v>
      </c>
      <c r="O479" s="5">
        <f>O478/126</f>
        <v>1</v>
      </c>
      <c r="P479" s="5">
        <f>P478/28</f>
        <v>1</v>
      </c>
    </row>
    <row r="480" spans="2:16" ht="10.5" customHeight="1"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2:16" ht="10.5" customHeight="1">
      <c r="B481" s="8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</sheetData>
  <printOptions/>
  <pageMargins left="0.8999999999999999" right="0.8999999999999999" top="1" bottom="0.8" header="0.3" footer="0.3"/>
  <pageSetup firstPageNumber="281" useFirstPageNumber="1" fitToHeight="0" fitToWidth="0" horizontalDpi="600" verticalDpi="600" orientation="portrait" scale="99" r:id="rId1"/>
  <headerFooter alignWithMargins="0">
    <oddHeader>&amp;C&amp;"Arial,Bold"&amp;11Supplement to the Statement of Vote
Counties by Assembly Districts for United States Senator</oddHeader>
    <oddFooter>&amp;C&amp;"Arial,Bold"&amp;8&amp;P</oddFooter>
  </headerFooter>
  <rowBreaks count="7" manualBreakCount="7">
    <brk id="63" max="15" man="1"/>
    <brk id="124" max="15" man="1"/>
    <brk id="184" max="15" man="1"/>
    <brk id="245" max="15" man="1"/>
    <brk id="304" max="15" man="1"/>
    <brk id="366" max="15" man="1"/>
    <brk id="4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2013-04-17T18:45:30Z</cp:lastPrinted>
  <dcterms:created xsi:type="dcterms:W3CDTF">2010-11-07T19:58:08Z</dcterms:created>
  <dcterms:modified xsi:type="dcterms:W3CDTF">2013-04-17T18:45:31Z</dcterms:modified>
  <cp:category/>
  <cp:version/>
  <cp:contentType/>
  <cp:contentStatus/>
</cp:coreProperties>
</file>