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'Sheet1'!$A$1:$P$335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<sst xmlns="http://schemas.openxmlformats.org/spreadsheetml/2006/main" count="307" uniqueCount="133">
  <si>
    <t>Barbara Boxer</t>
  </si>
  <si>
    <t>Robert M. "Mickey" Kaus</t>
  </si>
  <si>
    <t>Brian Quintana</t>
  </si>
  <si>
    <t>Chuck DeVore</t>
  </si>
  <si>
    <t>Carly Fiorina</t>
  </si>
  <si>
    <t>Tom Campbell</t>
  </si>
  <si>
    <t>Tim Kalemkarian</t>
  </si>
  <si>
    <t>Don J. Grundmann</t>
  </si>
  <si>
    <t>Edward C. Noonan</t>
  </si>
  <si>
    <t>Duane Roberts</t>
  </si>
  <si>
    <t>Gail K. Lightfoot</t>
  </si>
  <si>
    <t>Marsha Feinland</t>
  </si>
  <si>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</si>
  <si>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</si>
  <si>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</si>
  <si>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</si>
  <si>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</si>
  <si>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</si>
  <si>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</si>
  <si>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</si>
  <si>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</si>
  <si>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</si>
  <si>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</si>
  <si>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</si>
  <si>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</si>
  <si>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</si>
  <si>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</si>
  <si>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</si>
  <si>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</si>
  <si>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</si>
  <si>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</si>
  <si>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</si>
  <si>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</si>
  <si>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</si>
  <si>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Alpine</t>
  </si>
  <si>
    <t>Amador</t>
  </si>
  <si>
    <t>Calaveras</t>
  </si>
  <si>
    <t>Sacramento</t>
  </si>
  <si>
    <t>Solano</t>
  </si>
  <si>
    <t>El Dorado</t>
  </si>
  <si>
    <t>Lassen</t>
  </si>
  <si>
    <t>Modoc</t>
  </si>
  <si>
    <t>Nevada</t>
  </si>
  <si>
    <t>Placer</t>
  </si>
  <si>
    <t>Plumas</t>
  </si>
  <si>
    <t>Sierra</t>
  </si>
  <si>
    <t>Marin</t>
  </si>
  <si>
    <t>Contra Costa</t>
  </si>
  <si>
    <t>San Francisco</t>
  </si>
  <si>
    <t>Alameda</t>
  </si>
  <si>
    <t>San Joaquin</t>
  </si>
  <si>
    <t>Santa Clara</t>
  </si>
  <si>
    <t>San Mateo</t>
  </si>
  <si>
    <t>Santa Cruz</t>
  </si>
  <si>
    <t>Monterey</t>
  </si>
  <si>
    <t>San Benito</t>
  </si>
  <si>
    <t>Fresno</t>
  </si>
  <si>
    <t>Madera</t>
  </si>
  <si>
    <t>Merced</t>
  </si>
  <si>
    <t>Stanislaus</t>
  </si>
  <si>
    <t>Mariposa</t>
  </si>
  <si>
    <t>Tuolumne</t>
  </si>
  <si>
    <t>Kern</t>
  </si>
  <si>
    <t>Kings</t>
  </si>
  <si>
    <t>Tulare</t>
  </si>
  <si>
    <t>Los Angeles</t>
  </si>
  <si>
    <t>San Luis Obispo</t>
  </si>
  <si>
    <t>Santa Barbara</t>
  </si>
  <si>
    <t>Ventura</t>
  </si>
  <si>
    <t>Inyo</t>
  </si>
  <si>
    <t>Mono</t>
  </si>
  <si>
    <t>San Bernardino</t>
  </si>
  <si>
    <t>Orange</t>
  </si>
  <si>
    <t>Riverside</t>
  </si>
  <si>
    <t>San Diego</t>
  </si>
  <si>
    <t>Imperial</t>
  </si>
  <si>
    <t>District Totals</t>
  </si>
  <si>
    <t xml:space="preserve">Congressional District 45 </t>
  </si>
  <si>
    <t xml:space="preserve">Congressional District 46 </t>
  </si>
  <si>
    <t xml:space="preserve">Congressional District 47 </t>
  </si>
  <si>
    <t xml:space="preserve">Congressional District 48 </t>
  </si>
  <si>
    <t xml:space="preserve">Congressional District 49 </t>
  </si>
  <si>
    <t xml:space="preserve">Congressional District 50 </t>
  </si>
  <si>
    <t xml:space="preserve">Congressional District 51 </t>
  </si>
  <si>
    <t xml:space="preserve">Congressional District 52 </t>
  </si>
  <si>
    <t xml:space="preserve">Congressional District 53 </t>
  </si>
  <si>
    <t xml:space="preserve">Congressional District 1 </t>
  </si>
  <si>
    <t xml:space="preserve">Congressional District 2 </t>
  </si>
  <si>
    <t xml:space="preserve">Congressional District 3 </t>
  </si>
  <si>
    <t xml:space="preserve">Congressional District 4 </t>
  </si>
  <si>
    <t xml:space="preserve">Congressional District 5 </t>
  </si>
  <si>
    <t xml:space="preserve">Congressional District 6 </t>
  </si>
  <si>
    <t xml:space="preserve">Congressional District 7 </t>
  </si>
  <si>
    <t xml:space="preserve">Congressional District 8 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</si>
  <si>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</si>
  <si>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</si>
  <si>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</si>
  <si>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12 </t>
  </si>
  <si>
    <t xml:space="preserve">Congressional District 13 </t>
  </si>
  <si>
    <t xml:space="preserve">Congressional District 14 </t>
  </si>
  <si>
    <t xml:space="preserve">Congressional District 15 </t>
  </si>
  <si>
    <t xml:space="preserve">Congressional District 16 </t>
  </si>
  <si>
    <t xml:space="preserve">Congressional District 17 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</si>
  <si>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</si>
  <si>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</si>
  <si>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</si>
  <si>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</si>
  <si>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Congressional District 22 </t>
  </si>
  <si>
    <t xml:space="preserve">Congressional District 23 </t>
  </si>
  <si>
    <t xml:space="preserve">Congressional District 24 </t>
  </si>
  <si>
    <t xml:space="preserve">Congressional District 25 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</si>
  <si>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</si>
  <si>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</si>
  <si>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</si>
  <si>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</si>
  <si>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</si>
  <si>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</si>
  <si>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</si>
  <si>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</si>
  <si>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</si>
  <si>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</si>
  <si>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</si>
  <si>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</si>
  <si>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</si>
  <si>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</si>
  <si>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40 </t>
  </si>
  <si>
    <t xml:space="preserve">Congressional District 41 </t>
  </si>
  <si>
    <t xml:space="preserve">Congressional District 42 </t>
  </si>
  <si>
    <t xml:space="preserve">Congressional District 43 </t>
  </si>
  <si>
    <t xml:space="preserve">Congressional District 44 </t>
  </si>
  <si>
    <t>Al      Ramirez</t>
  </si>
  <si>
    <t>Al          Salehi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</si>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</sst>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showOutlineSymbols="0" view="pageBreakPreview" zoomScaleSheetLayoutView="100" workbookViewId="0" topLeftCell="A1">
      <selection activeCell="B1" sqref="B1:B16384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8" width="7.7109375" style="1" customWidth="1"/>
    <col min="9" max="9" width="8.140625" style="1" customWidth="1"/>
    <col min="10" max="16384" width="7.7109375" style="1" customWidth="1"/>
  </cols>
  <sheetData>
    <row r="1" spans="3:16" s="12" customFormat="1" ht="29.25" customHeight="1"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130</v>
      </c>
      <c r="K1" s="12" t="s">
        <v>7</v>
      </c>
      <c r="L1" s="12" t="s">
        <v>8</v>
      </c>
      <c r="M1" s="12" t="s">
        <v>131</v>
      </c>
      <c r="N1" s="12" t="s">
        <v>9</v>
      </c>
      <c r="O1" s="12" t="s">
        <v>10</v>
      </c>
      <c r="P1" s="12" t="s">
        <v>11</v>
      </c>
    </row>
    <row r="2" spans="3:16" s="11" customFormat="1" ht="9">
      <c r="C2" s="11" t="s">
        <v>12</v>
      </c>
      <c r="D2" s="11" t="s">
        <v>12</v>
      </c>
      <c r="E2" s="11" t="s">
        <v>12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13</v>
      </c>
      <c r="K2" s="11" t="s">
        <v>14</v>
      </c>
      <c r="L2" s="11" t="s">
        <v>14</v>
      </c>
      <c r="M2" s="11" t="s">
        <v>14</v>
      </c>
      <c r="N2" s="11" t="s">
        <v>15</v>
      </c>
      <c r="O2" s="11" t="s">
        <v>16</v>
      </c>
      <c r="P2" s="11" t="s">
        <v>17</v>
      </c>
    </row>
    <row r="3" spans="1:2" s="10" customFormat="1" ht="10.5" customHeight="1">
      <c r="A3" s="8" t="s">
        <v>86</v>
      </c>
      <c r="B3" s="9"/>
    </row>
    <row r="4" spans="2:16" ht="10.5" customHeight="1">
      <c r="B4" s="5" t="s">
        <v>18</v>
      </c>
      <c r="C4" s="2">
        <v>1825</v>
      </c>
      <c r="D4" s="2">
        <v>144</v>
      </c>
      <c r="E4" s="2">
        <v>483</v>
      </c>
      <c r="F4" s="2">
        <v>548</v>
      </c>
      <c r="G4" s="2">
        <v>1379</v>
      </c>
      <c r="H4" s="2">
        <v>586</v>
      </c>
      <c r="I4" s="2">
        <v>49</v>
      </c>
      <c r="J4" s="2">
        <v>86</v>
      </c>
      <c r="K4" s="2">
        <v>41</v>
      </c>
      <c r="L4" s="2">
        <v>45</v>
      </c>
      <c r="M4" s="2">
        <v>25</v>
      </c>
      <c r="N4" s="2">
        <v>20</v>
      </c>
      <c r="O4" s="2">
        <v>20</v>
      </c>
      <c r="P4" s="2">
        <v>7</v>
      </c>
    </row>
    <row r="5" spans="2:16" ht="10.5" customHeight="1">
      <c r="B5" s="5" t="s">
        <v>19</v>
      </c>
      <c r="C5" s="2">
        <v>13619</v>
      </c>
      <c r="D5" s="2">
        <v>654</v>
      </c>
      <c r="E5" s="2">
        <v>2543</v>
      </c>
      <c r="F5" s="2">
        <v>2241</v>
      </c>
      <c r="G5" s="2">
        <v>6071</v>
      </c>
      <c r="H5" s="2">
        <v>2646</v>
      </c>
      <c r="I5" s="2">
        <v>147</v>
      </c>
      <c r="J5" s="2">
        <v>343</v>
      </c>
      <c r="K5" s="2">
        <v>162</v>
      </c>
      <c r="L5" s="2">
        <v>121</v>
      </c>
      <c r="M5" s="2">
        <v>74</v>
      </c>
      <c r="N5" s="2">
        <v>640</v>
      </c>
      <c r="O5" s="2">
        <v>174</v>
      </c>
      <c r="P5" s="2">
        <v>40</v>
      </c>
    </row>
    <row r="6" spans="2:16" ht="10.5" customHeight="1">
      <c r="B6" s="5" t="s">
        <v>20</v>
      </c>
      <c r="C6" s="2">
        <v>5380</v>
      </c>
      <c r="D6" s="2">
        <v>412</v>
      </c>
      <c r="E6" s="2">
        <v>1301</v>
      </c>
      <c r="F6" s="2">
        <v>1572</v>
      </c>
      <c r="G6" s="2">
        <v>2525</v>
      </c>
      <c r="H6" s="2">
        <v>1332</v>
      </c>
      <c r="I6" s="2">
        <v>111</v>
      </c>
      <c r="J6" s="2">
        <v>167</v>
      </c>
      <c r="K6" s="2">
        <v>95</v>
      </c>
      <c r="L6" s="2">
        <v>106</v>
      </c>
      <c r="M6" s="2">
        <v>56</v>
      </c>
      <c r="N6" s="2">
        <v>125</v>
      </c>
      <c r="O6" s="2">
        <v>68</v>
      </c>
      <c r="P6" s="2">
        <v>20</v>
      </c>
    </row>
    <row r="7" spans="2:16" ht="10.5" customHeight="1">
      <c r="B7" s="5" t="s">
        <v>21</v>
      </c>
      <c r="C7" s="2">
        <v>9906</v>
      </c>
      <c r="D7" s="2">
        <v>480</v>
      </c>
      <c r="E7" s="2">
        <v>1377</v>
      </c>
      <c r="F7" s="2">
        <v>893</v>
      </c>
      <c r="G7" s="2">
        <v>2957</v>
      </c>
      <c r="H7" s="2">
        <v>1698</v>
      </c>
      <c r="I7" s="2">
        <v>88</v>
      </c>
      <c r="J7" s="2">
        <v>191</v>
      </c>
      <c r="K7" s="2">
        <v>69</v>
      </c>
      <c r="L7" s="2">
        <v>86</v>
      </c>
      <c r="M7" s="2">
        <v>57</v>
      </c>
      <c r="N7" s="2">
        <v>416</v>
      </c>
      <c r="O7" s="2">
        <v>109</v>
      </c>
      <c r="P7" s="2">
        <v>35</v>
      </c>
    </row>
    <row r="8" spans="2:16" ht="10.5" customHeight="1">
      <c r="B8" s="5" t="s">
        <v>22</v>
      </c>
      <c r="C8" s="2">
        <v>12250</v>
      </c>
      <c r="D8" s="2">
        <v>630</v>
      </c>
      <c r="E8" s="2">
        <v>2086</v>
      </c>
      <c r="F8" s="2">
        <v>2256</v>
      </c>
      <c r="G8" s="2">
        <v>4946</v>
      </c>
      <c r="H8" s="2">
        <v>3390</v>
      </c>
      <c r="I8" s="2">
        <v>86</v>
      </c>
      <c r="J8" s="2">
        <v>227</v>
      </c>
      <c r="K8" s="2">
        <v>77</v>
      </c>
      <c r="L8" s="2">
        <v>130</v>
      </c>
      <c r="M8" s="2">
        <v>69</v>
      </c>
      <c r="N8" s="2">
        <v>142</v>
      </c>
      <c r="O8" s="2">
        <v>108</v>
      </c>
      <c r="P8" s="2">
        <v>18</v>
      </c>
    </row>
    <row r="9" spans="2:16" ht="10.5" customHeight="1">
      <c r="B9" s="5" t="s">
        <v>23</v>
      </c>
      <c r="C9" s="2">
        <v>9350</v>
      </c>
      <c r="D9" s="2">
        <v>371</v>
      </c>
      <c r="E9" s="2">
        <v>1318</v>
      </c>
      <c r="F9" s="2">
        <v>1419</v>
      </c>
      <c r="G9" s="2">
        <v>2886</v>
      </c>
      <c r="H9" s="2">
        <v>2253</v>
      </c>
      <c r="I9" s="2">
        <v>47</v>
      </c>
      <c r="J9" s="2">
        <v>114</v>
      </c>
      <c r="K9" s="2">
        <v>44</v>
      </c>
      <c r="L9" s="2">
        <v>63</v>
      </c>
      <c r="M9" s="2">
        <v>54</v>
      </c>
      <c r="N9" s="2">
        <v>160</v>
      </c>
      <c r="O9" s="2">
        <v>79</v>
      </c>
      <c r="P9" s="2">
        <v>24</v>
      </c>
    </row>
    <row r="10" spans="2:16" ht="10.5" customHeight="1">
      <c r="B10" s="5" t="s">
        <v>24</v>
      </c>
      <c r="C10" s="2">
        <v>13736</v>
      </c>
      <c r="D10" s="2">
        <v>537</v>
      </c>
      <c r="E10" s="2">
        <v>1909</v>
      </c>
      <c r="F10" s="2">
        <v>1143</v>
      </c>
      <c r="G10" s="2">
        <v>5219</v>
      </c>
      <c r="H10" s="2">
        <v>2349</v>
      </c>
      <c r="I10" s="2">
        <v>76</v>
      </c>
      <c r="J10" s="2">
        <v>207</v>
      </c>
      <c r="K10" s="2">
        <v>62</v>
      </c>
      <c r="L10" s="2">
        <v>81</v>
      </c>
      <c r="M10" s="2">
        <v>48</v>
      </c>
      <c r="N10" s="2">
        <v>207</v>
      </c>
      <c r="O10" s="2">
        <v>98</v>
      </c>
      <c r="P10" s="2">
        <v>26</v>
      </c>
    </row>
    <row r="11" spans="1:16" ht="10.5" customHeight="1">
      <c r="A11" s="3" t="s">
        <v>76</v>
      </c>
      <c r="C11" s="2">
        <v>66066</v>
      </c>
      <c r="D11" s="2">
        <v>3228</v>
      </c>
      <c r="E11" s="2">
        <v>11017</v>
      </c>
      <c r="F11" s="2">
        <v>10072</v>
      </c>
      <c r="G11" s="2">
        <v>25983</v>
      </c>
      <c r="H11" s="2">
        <v>14254</v>
      </c>
      <c r="I11" s="2">
        <v>604</v>
      </c>
      <c r="J11" s="2">
        <v>1335</v>
      </c>
      <c r="K11" s="2">
        <v>550</v>
      </c>
      <c r="L11" s="2">
        <v>632</v>
      </c>
      <c r="M11" s="2">
        <v>383</v>
      </c>
      <c r="N11" s="2">
        <v>1710</v>
      </c>
      <c r="O11" s="2">
        <v>656</v>
      </c>
      <c r="P11" s="2">
        <v>170</v>
      </c>
    </row>
    <row r="12" spans="2:16" s="4" customFormat="1" ht="10.5" customHeight="1">
      <c r="B12" s="6" t="s">
        <v>132</v>
      </c>
      <c r="C12" s="4">
        <f>C11/80311</f>
        <v>0.822627037392138</v>
      </c>
      <c r="D12" s="4">
        <f>D11/80311</f>
        <v>0.04019374680927893</v>
      </c>
      <c r="E12" s="4">
        <f>E11/80311</f>
        <v>0.137179215798583</v>
      </c>
      <c r="F12" s="4">
        <f>F11/52248</f>
        <v>0.19277292910733426</v>
      </c>
      <c r="G12" s="4">
        <f>G11/52248</f>
        <v>0.49730133210840605</v>
      </c>
      <c r="H12" s="4">
        <f>H11/52248</f>
        <v>0.27281427040269485</v>
      </c>
      <c r="I12" s="4">
        <f>I11/52248</f>
        <v>0.011560251110090338</v>
      </c>
      <c r="J12" s="4">
        <f>J11/52248</f>
        <v>0.025551217271474507</v>
      </c>
      <c r="K12" s="4">
        <f>K11/1565</f>
        <v>0.3514376996805112</v>
      </c>
      <c r="L12" s="4">
        <f>L11/1565</f>
        <v>0.4038338658146965</v>
      </c>
      <c r="M12" s="4">
        <f>M11/1565</f>
        <v>0.24472843450479234</v>
      </c>
      <c r="N12" s="4">
        <f>N11/1710</f>
        <v>1</v>
      </c>
      <c r="O12" s="4">
        <f>O11/656</f>
        <v>1</v>
      </c>
      <c r="P12" s="4">
        <f>P11/170</f>
        <v>1</v>
      </c>
    </row>
    <row r="13" spans="2:16" ht="10.5" customHeight="1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0.5" customHeight="1">
      <c r="A14" s="3" t="s">
        <v>87</v>
      </c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0.5" customHeight="1">
      <c r="B15" s="5" t="s">
        <v>25</v>
      </c>
      <c r="C15" s="2">
        <v>11359</v>
      </c>
      <c r="D15" s="2">
        <v>849</v>
      </c>
      <c r="E15" s="2">
        <v>2641</v>
      </c>
      <c r="F15" s="2">
        <v>3643</v>
      </c>
      <c r="G15" s="2">
        <v>11174</v>
      </c>
      <c r="H15" s="2">
        <v>5155</v>
      </c>
      <c r="I15" s="2">
        <v>178</v>
      </c>
      <c r="J15" s="2">
        <v>489</v>
      </c>
      <c r="K15" s="2">
        <v>150</v>
      </c>
      <c r="L15" s="2">
        <v>154</v>
      </c>
      <c r="M15" s="2">
        <v>85</v>
      </c>
      <c r="N15" s="2">
        <v>241</v>
      </c>
      <c r="O15" s="2">
        <v>143</v>
      </c>
      <c r="P15" s="2">
        <v>41</v>
      </c>
    </row>
    <row r="16" spans="2:16" ht="10.5" customHeight="1">
      <c r="B16" s="5" t="s">
        <v>26</v>
      </c>
      <c r="C16" s="2">
        <v>619</v>
      </c>
      <c r="D16" s="2">
        <v>96</v>
      </c>
      <c r="E16" s="2">
        <v>285</v>
      </c>
      <c r="F16" s="2">
        <v>245</v>
      </c>
      <c r="G16" s="2">
        <v>1375</v>
      </c>
      <c r="H16" s="2">
        <v>434</v>
      </c>
      <c r="I16" s="2">
        <v>11</v>
      </c>
      <c r="J16" s="2">
        <v>45</v>
      </c>
      <c r="K16" s="2">
        <v>9</v>
      </c>
      <c r="L16" s="2">
        <v>10</v>
      </c>
      <c r="M16" s="2">
        <v>3</v>
      </c>
      <c r="N16" s="2">
        <v>6</v>
      </c>
      <c r="O16" s="2">
        <v>7</v>
      </c>
      <c r="P16" s="2">
        <v>1</v>
      </c>
    </row>
    <row r="17" spans="2:16" ht="10.5" customHeight="1">
      <c r="B17" s="5" t="s">
        <v>27</v>
      </c>
      <c r="C17" s="2">
        <v>1074</v>
      </c>
      <c r="D17" s="2">
        <v>144</v>
      </c>
      <c r="E17" s="2">
        <v>575</v>
      </c>
      <c r="F17" s="2">
        <v>650</v>
      </c>
      <c r="G17" s="2">
        <v>1782</v>
      </c>
      <c r="H17" s="2">
        <v>955</v>
      </c>
      <c r="I17" s="2">
        <v>30</v>
      </c>
      <c r="J17" s="2">
        <v>114</v>
      </c>
      <c r="K17" s="2">
        <v>30</v>
      </c>
      <c r="L17" s="2">
        <v>36</v>
      </c>
      <c r="M17" s="2">
        <v>15</v>
      </c>
      <c r="N17" s="2">
        <v>17</v>
      </c>
      <c r="O17" s="2">
        <v>21</v>
      </c>
      <c r="P17" s="2">
        <v>3</v>
      </c>
    </row>
    <row r="18" spans="2:16" ht="10.5" customHeight="1">
      <c r="B18" s="5" t="s">
        <v>28</v>
      </c>
      <c r="C18" s="2">
        <v>8356</v>
      </c>
      <c r="D18" s="2">
        <v>854</v>
      </c>
      <c r="E18" s="2">
        <v>3224</v>
      </c>
      <c r="F18" s="2">
        <v>5357</v>
      </c>
      <c r="G18" s="2">
        <v>12923</v>
      </c>
      <c r="H18" s="2">
        <v>5532</v>
      </c>
      <c r="I18" s="2">
        <v>231</v>
      </c>
      <c r="J18" s="2">
        <v>737</v>
      </c>
      <c r="K18" s="2">
        <v>160</v>
      </c>
      <c r="L18" s="2">
        <v>174</v>
      </c>
      <c r="M18" s="2">
        <v>105</v>
      </c>
      <c r="N18" s="2">
        <v>98</v>
      </c>
      <c r="O18" s="2">
        <v>164</v>
      </c>
      <c r="P18" s="2">
        <v>24</v>
      </c>
    </row>
    <row r="19" spans="2:16" ht="10.5" customHeight="1">
      <c r="B19" s="5" t="s">
        <v>29</v>
      </c>
      <c r="C19" s="2">
        <v>3140</v>
      </c>
      <c r="D19" s="2">
        <v>256</v>
      </c>
      <c r="E19" s="2">
        <v>1075</v>
      </c>
      <c r="F19" s="2">
        <v>1313</v>
      </c>
      <c r="G19" s="2">
        <v>3543</v>
      </c>
      <c r="H19" s="2">
        <v>1255</v>
      </c>
      <c r="I19" s="2">
        <v>71</v>
      </c>
      <c r="J19" s="2">
        <v>220</v>
      </c>
      <c r="K19" s="2">
        <v>62</v>
      </c>
      <c r="L19" s="2">
        <v>71</v>
      </c>
      <c r="M19" s="2">
        <v>45</v>
      </c>
      <c r="N19" s="2">
        <v>38</v>
      </c>
      <c r="O19" s="2">
        <v>66</v>
      </c>
      <c r="P19" s="2">
        <v>7</v>
      </c>
    </row>
    <row r="20" spans="2:16" ht="10.5" customHeight="1">
      <c r="B20" s="5" t="s">
        <v>30</v>
      </c>
      <c r="C20" s="2">
        <v>3108</v>
      </c>
      <c r="D20" s="2">
        <v>359</v>
      </c>
      <c r="E20" s="2">
        <v>1396</v>
      </c>
      <c r="F20" s="2">
        <v>1547</v>
      </c>
      <c r="G20" s="2">
        <v>6303</v>
      </c>
      <c r="H20" s="2">
        <v>1881</v>
      </c>
      <c r="I20" s="2">
        <v>68</v>
      </c>
      <c r="J20" s="2">
        <v>245</v>
      </c>
      <c r="K20" s="2">
        <v>62</v>
      </c>
      <c r="L20" s="2">
        <v>73</v>
      </c>
      <c r="M20" s="2">
        <v>43</v>
      </c>
      <c r="N20" s="2">
        <v>19</v>
      </c>
      <c r="O20" s="2">
        <v>49</v>
      </c>
      <c r="P20" s="2">
        <v>11</v>
      </c>
    </row>
    <row r="21" spans="2:16" ht="10.5" customHeight="1">
      <c r="B21" s="5" t="s">
        <v>31</v>
      </c>
      <c r="C21" s="2">
        <v>2774</v>
      </c>
      <c r="D21" s="2">
        <v>360</v>
      </c>
      <c r="E21" s="2">
        <v>1455</v>
      </c>
      <c r="F21" s="2">
        <v>1709</v>
      </c>
      <c r="G21" s="2">
        <v>3928</v>
      </c>
      <c r="H21" s="2">
        <v>1851</v>
      </c>
      <c r="I21" s="2">
        <v>85</v>
      </c>
      <c r="J21" s="2">
        <v>298</v>
      </c>
      <c r="K21" s="2">
        <v>116</v>
      </c>
      <c r="L21" s="2">
        <v>125</v>
      </c>
      <c r="M21" s="2">
        <v>79</v>
      </c>
      <c r="N21" s="2">
        <v>24</v>
      </c>
      <c r="O21" s="2">
        <v>72</v>
      </c>
      <c r="P21" s="2">
        <v>10</v>
      </c>
    </row>
    <row r="22" spans="2:16" ht="10.5" customHeight="1">
      <c r="B22" s="5" t="s">
        <v>32</v>
      </c>
      <c r="C22" s="2">
        <v>1130</v>
      </c>
      <c r="D22" s="2">
        <v>95</v>
      </c>
      <c r="E22" s="2">
        <v>382</v>
      </c>
      <c r="F22" s="2">
        <v>352</v>
      </c>
      <c r="G22" s="2">
        <v>806</v>
      </c>
      <c r="H22" s="2">
        <v>519</v>
      </c>
      <c r="I22" s="2">
        <v>32</v>
      </c>
      <c r="J22" s="2">
        <v>61</v>
      </c>
      <c r="K22" s="2">
        <v>25</v>
      </c>
      <c r="L22" s="2">
        <v>38</v>
      </c>
      <c r="M22" s="2">
        <v>21</v>
      </c>
      <c r="N22" s="2">
        <v>38</v>
      </c>
      <c r="O22" s="2">
        <v>32</v>
      </c>
      <c r="P22" s="2">
        <v>4</v>
      </c>
    </row>
    <row r="23" spans="2:16" ht="10.5" customHeight="1">
      <c r="B23" s="5" t="s">
        <v>24</v>
      </c>
      <c r="C23" s="2">
        <v>1197</v>
      </c>
      <c r="D23" s="2">
        <v>112</v>
      </c>
      <c r="E23" s="2">
        <v>452</v>
      </c>
      <c r="F23" s="2">
        <v>235</v>
      </c>
      <c r="G23" s="2">
        <v>1891</v>
      </c>
      <c r="H23" s="2">
        <v>533</v>
      </c>
      <c r="I23" s="2">
        <v>13</v>
      </c>
      <c r="J23" s="2">
        <v>55</v>
      </c>
      <c r="K23" s="2">
        <v>15</v>
      </c>
      <c r="L23" s="2">
        <v>17</v>
      </c>
      <c r="M23" s="2">
        <v>7</v>
      </c>
      <c r="N23" s="2">
        <v>14</v>
      </c>
      <c r="O23" s="2">
        <v>13</v>
      </c>
      <c r="P23" s="2">
        <v>2</v>
      </c>
    </row>
    <row r="24" spans="2:16" ht="10.5" customHeight="1">
      <c r="B24" s="5" t="s">
        <v>33</v>
      </c>
      <c r="C24" s="2">
        <v>2044</v>
      </c>
      <c r="D24" s="2">
        <v>405</v>
      </c>
      <c r="E24" s="2">
        <v>864</v>
      </c>
      <c r="F24" s="2">
        <v>865</v>
      </c>
      <c r="G24" s="2">
        <v>3488</v>
      </c>
      <c r="H24" s="2">
        <v>945</v>
      </c>
      <c r="I24" s="2">
        <v>49</v>
      </c>
      <c r="J24" s="2">
        <v>105</v>
      </c>
      <c r="K24" s="2">
        <v>93</v>
      </c>
      <c r="L24" s="2">
        <v>87</v>
      </c>
      <c r="M24" s="2">
        <v>24</v>
      </c>
      <c r="N24" s="2">
        <v>27</v>
      </c>
      <c r="O24" s="2">
        <v>46</v>
      </c>
      <c r="P24" s="2">
        <v>6</v>
      </c>
    </row>
    <row r="25" spans="1:16" ht="10.5" customHeight="1">
      <c r="A25" s="3" t="s">
        <v>76</v>
      </c>
      <c r="C25" s="2">
        <v>34801</v>
      </c>
      <c r="D25" s="2">
        <v>3530</v>
      </c>
      <c r="E25" s="2">
        <v>12349</v>
      </c>
      <c r="F25" s="2">
        <v>15916</v>
      </c>
      <c r="G25" s="2">
        <v>47213</v>
      </c>
      <c r="H25" s="2">
        <v>19060</v>
      </c>
      <c r="I25" s="2">
        <v>768</v>
      </c>
      <c r="J25" s="2">
        <v>2369</v>
      </c>
      <c r="K25" s="2">
        <v>722</v>
      </c>
      <c r="L25" s="2">
        <v>785</v>
      </c>
      <c r="M25" s="2">
        <v>427</v>
      </c>
      <c r="N25" s="2">
        <v>522</v>
      </c>
      <c r="O25" s="2">
        <v>613</v>
      </c>
      <c r="P25" s="2">
        <v>109</v>
      </c>
    </row>
    <row r="26" spans="2:16" s="4" customFormat="1" ht="10.5" customHeight="1">
      <c r="B26" s="6" t="s">
        <v>132</v>
      </c>
      <c r="C26" s="4">
        <f>C25/50680</f>
        <v>0.686681136543015</v>
      </c>
      <c r="D26" s="4">
        <f>D25/50680</f>
        <v>0.0696527229676401</v>
      </c>
      <c r="E26" s="4">
        <f>E25/50680</f>
        <v>0.2436661404893449</v>
      </c>
      <c r="F26" s="4">
        <f>F25/85326</f>
        <v>0.18653165506410707</v>
      </c>
      <c r="G26" s="4">
        <f>G25/85326</f>
        <v>0.5533248951081734</v>
      </c>
      <c r="H26" s="4">
        <f>H25/85326</f>
        <v>0.22337857159599653</v>
      </c>
      <c r="I26" s="4">
        <f>I25/85326</f>
        <v>0.009000773503972997</v>
      </c>
      <c r="J26" s="4">
        <f>J25/85326</f>
        <v>0.027764104727750042</v>
      </c>
      <c r="K26" s="4">
        <f>K25/1934</f>
        <v>0.3733195449844881</v>
      </c>
      <c r="L26" s="4">
        <f>L25/1934</f>
        <v>0.405894519131334</v>
      </c>
      <c r="M26" s="4">
        <f>M25/1934</f>
        <v>0.22078593588417786</v>
      </c>
      <c r="N26" s="4">
        <f>N25/522</f>
        <v>1</v>
      </c>
      <c r="O26" s="4">
        <f>O25/613</f>
        <v>1</v>
      </c>
      <c r="P26" s="4">
        <f>P25/109</f>
        <v>1</v>
      </c>
    </row>
    <row r="27" spans="2:16" ht="10.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0.5" customHeight="1">
      <c r="A28" s="3" t="s">
        <v>88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0.5" customHeight="1">
      <c r="B29" s="5" t="s">
        <v>34</v>
      </c>
      <c r="C29" s="2">
        <v>162</v>
      </c>
      <c r="D29" s="2">
        <v>12</v>
      </c>
      <c r="E29" s="2">
        <v>23</v>
      </c>
      <c r="F29" s="2">
        <v>38</v>
      </c>
      <c r="G29" s="2">
        <v>84</v>
      </c>
      <c r="H29" s="2">
        <v>53</v>
      </c>
      <c r="I29" s="2">
        <v>0</v>
      </c>
      <c r="J29" s="2">
        <v>4</v>
      </c>
      <c r="K29" s="2">
        <v>2</v>
      </c>
      <c r="L29" s="2">
        <v>4</v>
      </c>
      <c r="M29" s="2">
        <v>2</v>
      </c>
      <c r="N29" s="2">
        <v>3</v>
      </c>
      <c r="O29" s="2">
        <v>0</v>
      </c>
      <c r="P29" s="2">
        <v>0</v>
      </c>
    </row>
    <row r="30" spans="2:16" ht="10.5" customHeight="1">
      <c r="B30" s="5" t="s">
        <v>35</v>
      </c>
      <c r="C30" s="2">
        <v>2737</v>
      </c>
      <c r="D30" s="2">
        <v>310</v>
      </c>
      <c r="E30" s="2">
        <v>941</v>
      </c>
      <c r="F30" s="2">
        <v>781</v>
      </c>
      <c r="G30" s="2">
        <v>4044</v>
      </c>
      <c r="H30" s="2">
        <v>1074</v>
      </c>
      <c r="I30" s="2">
        <v>73</v>
      </c>
      <c r="J30" s="2">
        <v>98</v>
      </c>
      <c r="K30" s="2">
        <v>46</v>
      </c>
      <c r="L30" s="2">
        <v>63</v>
      </c>
      <c r="M30" s="2">
        <v>34</v>
      </c>
      <c r="N30" s="2">
        <v>20</v>
      </c>
      <c r="O30" s="2">
        <v>52</v>
      </c>
      <c r="P30" s="2">
        <v>6</v>
      </c>
    </row>
    <row r="31" spans="2:16" ht="10.5" customHeight="1">
      <c r="B31" s="5" t="s">
        <v>36</v>
      </c>
      <c r="C31" s="2">
        <v>3228</v>
      </c>
      <c r="D31" s="2">
        <v>337</v>
      </c>
      <c r="E31" s="2">
        <v>1180</v>
      </c>
      <c r="F31" s="2">
        <v>1067</v>
      </c>
      <c r="G31" s="2">
        <v>4818</v>
      </c>
      <c r="H31" s="2">
        <v>1253</v>
      </c>
      <c r="I31" s="2">
        <v>66</v>
      </c>
      <c r="J31" s="2">
        <v>116</v>
      </c>
      <c r="K31" s="2">
        <v>72</v>
      </c>
      <c r="L31" s="2">
        <v>83</v>
      </c>
      <c r="M31" s="2">
        <v>39</v>
      </c>
      <c r="N31" s="2">
        <v>70</v>
      </c>
      <c r="O31" s="2">
        <v>106</v>
      </c>
      <c r="P31" s="2">
        <v>11</v>
      </c>
    </row>
    <row r="32" spans="2:16" ht="10.5" customHeight="1">
      <c r="B32" s="5" t="s">
        <v>37</v>
      </c>
      <c r="C32" s="2">
        <v>37488</v>
      </c>
      <c r="D32" s="2">
        <v>3433</v>
      </c>
      <c r="E32" s="2">
        <v>8982</v>
      </c>
      <c r="F32" s="2">
        <v>8342</v>
      </c>
      <c r="G32" s="2">
        <v>42556</v>
      </c>
      <c r="H32" s="2">
        <v>13310</v>
      </c>
      <c r="I32" s="2">
        <v>509</v>
      </c>
      <c r="J32" s="2">
        <v>865</v>
      </c>
      <c r="K32" s="2">
        <v>456</v>
      </c>
      <c r="L32" s="2">
        <v>573</v>
      </c>
      <c r="M32" s="2">
        <v>238</v>
      </c>
      <c r="N32" s="2">
        <v>320</v>
      </c>
      <c r="O32" s="2">
        <v>417</v>
      </c>
      <c r="P32" s="2">
        <v>107</v>
      </c>
    </row>
    <row r="33" spans="2:16" ht="10.5" customHeight="1">
      <c r="B33" s="5" t="s">
        <v>38</v>
      </c>
      <c r="C33" s="2">
        <v>1317</v>
      </c>
      <c r="D33" s="2">
        <v>80</v>
      </c>
      <c r="E33" s="2">
        <v>363</v>
      </c>
      <c r="F33" s="2">
        <v>295</v>
      </c>
      <c r="G33" s="2">
        <v>1272</v>
      </c>
      <c r="H33" s="2">
        <v>359</v>
      </c>
      <c r="I33" s="2">
        <v>13</v>
      </c>
      <c r="J33" s="2">
        <v>28</v>
      </c>
      <c r="K33" s="2">
        <v>17</v>
      </c>
      <c r="L33" s="2">
        <v>17</v>
      </c>
      <c r="M33" s="2">
        <v>12</v>
      </c>
      <c r="N33" s="2">
        <v>8</v>
      </c>
      <c r="O33" s="2">
        <v>9</v>
      </c>
      <c r="P33" s="2">
        <v>1</v>
      </c>
    </row>
    <row r="34" spans="1:16" ht="10.5" customHeight="1">
      <c r="A34" s="3" t="s">
        <v>76</v>
      </c>
      <c r="C34" s="2">
        <v>44932</v>
      </c>
      <c r="D34" s="2">
        <v>4172</v>
      </c>
      <c r="E34" s="2">
        <v>11489</v>
      </c>
      <c r="F34" s="2">
        <v>10523</v>
      </c>
      <c r="G34" s="2">
        <v>52774</v>
      </c>
      <c r="H34" s="2">
        <v>16049</v>
      </c>
      <c r="I34" s="2">
        <v>661</v>
      </c>
      <c r="J34" s="2">
        <v>1111</v>
      </c>
      <c r="K34" s="2">
        <v>593</v>
      </c>
      <c r="L34" s="2">
        <v>740</v>
      </c>
      <c r="M34" s="2">
        <v>325</v>
      </c>
      <c r="N34" s="2">
        <v>421</v>
      </c>
      <c r="O34" s="2">
        <v>584</v>
      </c>
      <c r="P34" s="2">
        <v>125</v>
      </c>
    </row>
    <row r="35" spans="2:16" s="4" customFormat="1" ht="10.5" customHeight="1">
      <c r="B35" s="6" t="s">
        <v>132</v>
      </c>
      <c r="C35" s="4">
        <f>C34/60593</f>
        <v>0.7415378013962008</v>
      </c>
      <c r="D35" s="4">
        <f>D34/60593</f>
        <v>0.068852837786543</v>
      </c>
      <c r="E35" s="4">
        <f>E34/60593</f>
        <v>0.18960936081725613</v>
      </c>
      <c r="F35" s="4">
        <f>F34/81118</f>
        <v>0.12972459873271036</v>
      </c>
      <c r="G35" s="4">
        <f>G34/81118</f>
        <v>0.6505831011612713</v>
      </c>
      <c r="H35" s="4">
        <f>H34/81118</f>
        <v>0.1978475800685421</v>
      </c>
      <c r="I35" s="4">
        <f>I34/81118</f>
        <v>0.008148622993663552</v>
      </c>
      <c r="J35" s="4">
        <f>J34/81118</f>
        <v>0.013696097043812716</v>
      </c>
      <c r="K35" s="4">
        <f>K34/1658</f>
        <v>0.3576598311218335</v>
      </c>
      <c r="L35" s="4">
        <f>L34/1658</f>
        <v>0.44632086851628466</v>
      </c>
      <c r="M35" s="4">
        <f>M34/1658</f>
        <v>0.19601930036188178</v>
      </c>
      <c r="N35" s="4">
        <f>N34/421</f>
        <v>1</v>
      </c>
      <c r="O35" s="4">
        <f>O34/584</f>
        <v>1</v>
      </c>
      <c r="P35" s="4">
        <f>P34/125</f>
        <v>1</v>
      </c>
    </row>
    <row r="36" spans="2:16" ht="10.5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0.5" customHeight="1">
      <c r="A37" s="3" t="s">
        <v>89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0.5" customHeight="1">
      <c r="B38" s="5" t="s">
        <v>25</v>
      </c>
      <c r="C38" s="2">
        <v>2321</v>
      </c>
      <c r="D38" s="2">
        <v>319</v>
      </c>
      <c r="E38" s="2">
        <v>897</v>
      </c>
      <c r="F38" s="2">
        <v>1202</v>
      </c>
      <c r="G38" s="2">
        <v>2766</v>
      </c>
      <c r="H38" s="2">
        <v>1210</v>
      </c>
      <c r="I38" s="2">
        <v>50</v>
      </c>
      <c r="J38" s="2">
        <v>147</v>
      </c>
      <c r="K38" s="2">
        <v>58</v>
      </c>
      <c r="L38" s="2">
        <v>63</v>
      </c>
      <c r="M38" s="2">
        <v>21</v>
      </c>
      <c r="N38" s="2">
        <v>15</v>
      </c>
      <c r="O38" s="2">
        <v>49</v>
      </c>
      <c r="P38" s="2">
        <v>7</v>
      </c>
    </row>
    <row r="39" spans="2:16" ht="10.5" customHeight="1">
      <c r="B39" s="5" t="s">
        <v>39</v>
      </c>
      <c r="C39" s="2">
        <v>10778</v>
      </c>
      <c r="D39" s="2">
        <v>912</v>
      </c>
      <c r="E39" s="2">
        <v>3239</v>
      </c>
      <c r="F39" s="2">
        <v>4365</v>
      </c>
      <c r="G39" s="2">
        <v>17953</v>
      </c>
      <c r="H39" s="2">
        <v>5218</v>
      </c>
      <c r="I39" s="2">
        <v>194</v>
      </c>
      <c r="J39" s="2">
        <v>345</v>
      </c>
      <c r="K39" s="2">
        <v>155</v>
      </c>
      <c r="L39" s="2">
        <v>235</v>
      </c>
      <c r="M39" s="2">
        <v>114</v>
      </c>
      <c r="N39" s="2">
        <v>171</v>
      </c>
      <c r="O39" s="2">
        <v>200</v>
      </c>
      <c r="P39" s="2">
        <v>26</v>
      </c>
    </row>
    <row r="40" spans="2:16" ht="10.5" customHeight="1">
      <c r="B40" s="5" t="s">
        <v>40</v>
      </c>
      <c r="C40" s="2">
        <v>1147</v>
      </c>
      <c r="D40" s="2">
        <v>200</v>
      </c>
      <c r="E40" s="2">
        <v>535</v>
      </c>
      <c r="F40" s="2">
        <v>990</v>
      </c>
      <c r="G40" s="2">
        <v>1769</v>
      </c>
      <c r="H40" s="2">
        <v>803</v>
      </c>
      <c r="I40" s="2">
        <v>44</v>
      </c>
      <c r="J40" s="2">
        <v>100</v>
      </c>
      <c r="K40" s="2">
        <v>54</v>
      </c>
      <c r="L40" s="2">
        <v>73</v>
      </c>
      <c r="M40" s="2">
        <v>40</v>
      </c>
      <c r="N40" s="2">
        <v>11</v>
      </c>
      <c r="O40" s="2">
        <v>25</v>
      </c>
      <c r="P40" s="2">
        <v>1</v>
      </c>
    </row>
    <row r="41" spans="2:16" ht="10.5" customHeight="1">
      <c r="B41" s="5" t="s">
        <v>41</v>
      </c>
      <c r="C41" s="2">
        <v>501</v>
      </c>
      <c r="D41" s="2">
        <v>83</v>
      </c>
      <c r="E41" s="2">
        <v>255</v>
      </c>
      <c r="F41" s="2">
        <v>394</v>
      </c>
      <c r="G41" s="2">
        <v>893</v>
      </c>
      <c r="H41" s="2">
        <v>456</v>
      </c>
      <c r="I41" s="2">
        <v>13</v>
      </c>
      <c r="J41" s="2">
        <v>73</v>
      </c>
      <c r="K41" s="2">
        <v>26</v>
      </c>
      <c r="L41" s="2">
        <v>34</v>
      </c>
      <c r="M41" s="2">
        <v>12</v>
      </c>
      <c r="N41" s="2">
        <v>4</v>
      </c>
      <c r="O41" s="2">
        <v>21</v>
      </c>
      <c r="P41" s="2">
        <v>2</v>
      </c>
    </row>
    <row r="42" spans="2:16" ht="10.5" customHeight="1">
      <c r="B42" s="5" t="s">
        <v>42</v>
      </c>
      <c r="C42" s="2">
        <v>8351</v>
      </c>
      <c r="D42" s="2">
        <v>606</v>
      </c>
      <c r="E42" s="2">
        <v>1542</v>
      </c>
      <c r="F42" s="2">
        <v>2378</v>
      </c>
      <c r="G42" s="2">
        <v>10027</v>
      </c>
      <c r="H42" s="2">
        <v>2739</v>
      </c>
      <c r="I42" s="2">
        <v>93</v>
      </c>
      <c r="J42" s="2">
        <v>188</v>
      </c>
      <c r="K42" s="2">
        <v>94</v>
      </c>
      <c r="L42" s="2">
        <v>103</v>
      </c>
      <c r="M42" s="2">
        <v>55</v>
      </c>
      <c r="N42" s="2">
        <v>238</v>
      </c>
      <c r="O42" s="2">
        <v>130</v>
      </c>
      <c r="P42" s="2">
        <v>19</v>
      </c>
    </row>
    <row r="43" spans="2:16" ht="10.5" customHeight="1">
      <c r="B43" s="5" t="s">
        <v>43</v>
      </c>
      <c r="C43" s="2">
        <v>19906</v>
      </c>
      <c r="D43" s="2">
        <v>1412</v>
      </c>
      <c r="E43" s="2">
        <v>5221</v>
      </c>
      <c r="F43" s="2">
        <v>7774</v>
      </c>
      <c r="G43" s="2">
        <v>31597</v>
      </c>
      <c r="H43" s="2">
        <v>11720</v>
      </c>
      <c r="I43" s="2">
        <v>260</v>
      </c>
      <c r="J43" s="2">
        <v>724</v>
      </c>
      <c r="K43" s="2">
        <v>105</v>
      </c>
      <c r="L43" s="2">
        <v>158</v>
      </c>
      <c r="M43" s="2">
        <v>83</v>
      </c>
      <c r="N43" s="2">
        <v>190</v>
      </c>
      <c r="O43" s="2">
        <v>267</v>
      </c>
      <c r="P43" s="2">
        <v>28</v>
      </c>
    </row>
    <row r="44" spans="2:16" ht="10.5" customHeight="1">
      <c r="B44" s="5" t="s">
        <v>44</v>
      </c>
      <c r="C44" s="2">
        <v>1514</v>
      </c>
      <c r="D44" s="2">
        <v>183</v>
      </c>
      <c r="E44" s="2">
        <v>545</v>
      </c>
      <c r="F44" s="2">
        <v>528</v>
      </c>
      <c r="G44" s="2">
        <v>2425</v>
      </c>
      <c r="H44" s="2">
        <v>498</v>
      </c>
      <c r="I44" s="2">
        <v>29</v>
      </c>
      <c r="J44" s="2">
        <v>53</v>
      </c>
      <c r="K44" s="2">
        <v>45</v>
      </c>
      <c r="L44" s="2">
        <v>28</v>
      </c>
      <c r="M44" s="2">
        <v>23</v>
      </c>
      <c r="N44" s="2">
        <v>22</v>
      </c>
      <c r="O44" s="2">
        <v>29</v>
      </c>
      <c r="P44" s="2">
        <v>4</v>
      </c>
    </row>
    <row r="45" spans="2:16" ht="10.5" customHeight="1">
      <c r="B45" s="5" t="s">
        <v>37</v>
      </c>
      <c r="C45" s="2">
        <v>1511</v>
      </c>
      <c r="D45" s="2">
        <v>202</v>
      </c>
      <c r="E45" s="2">
        <v>474</v>
      </c>
      <c r="F45" s="2">
        <v>580</v>
      </c>
      <c r="G45" s="2">
        <v>2656</v>
      </c>
      <c r="H45" s="2">
        <v>743</v>
      </c>
      <c r="I45" s="2">
        <v>29</v>
      </c>
      <c r="J45" s="2">
        <v>46</v>
      </c>
      <c r="K45" s="2">
        <v>31</v>
      </c>
      <c r="L45" s="2">
        <v>32</v>
      </c>
      <c r="M45" s="2">
        <v>15</v>
      </c>
      <c r="N45" s="2">
        <v>17</v>
      </c>
      <c r="O45" s="2">
        <v>29</v>
      </c>
      <c r="P45" s="2">
        <v>3</v>
      </c>
    </row>
    <row r="46" spans="2:16" ht="10.5" customHeight="1">
      <c r="B46" s="5" t="s">
        <v>45</v>
      </c>
      <c r="C46" s="2">
        <v>302</v>
      </c>
      <c r="D46" s="2">
        <v>31</v>
      </c>
      <c r="E46" s="2">
        <v>105</v>
      </c>
      <c r="F46" s="2">
        <v>157</v>
      </c>
      <c r="G46" s="2">
        <v>400</v>
      </c>
      <c r="H46" s="2">
        <v>151</v>
      </c>
      <c r="I46" s="2">
        <v>7</v>
      </c>
      <c r="J46" s="2">
        <v>7</v>
      </c>
      <c r="K46" s="2">
        <v>24</v>
      </c>
      <c r="L46" s="2">
        <v>10</v>
      </c>
      <c r="M46" s="2">
        <v>9</v>
      </c>
      <c r="N46" s="2">
        <v>7</v>
      </c>
      <c r="O46" s="2">
        <v>16</v>
      </c>
      <c r="P46" s="2">
        <v>1</v>
      </c>
    </row>
    <row r="47" spans="1:16" ht="10.5" customHeight="1">
      <c r="A47" s="3" t="s">
        <v>76</v>
      </c>
      <c r="C47" s="2">
        <v>46331</v>
      </c>
      <c r="D47" s="2">
        <v>3948</v>
      </c>
      <c r="E47" s="2">
        <v>12813</v>
      </c>
      <c r="F47" s="2">
        <v>18368</v>
      </c>
      <c r="G47" s="2">
        <v>70486</v>
      </c>
      <c r="H47" s="2">
        <v>23538</v>
      </c>
      <c r="I47" s="2">
        <v>719</v>
      </c>
      <c r="J47" s="2">
        <v>1683</v>
      </c>
      <c r="K47" s="2">
        <v>592</v>
      </c>
      <c r="L47" s="2">
        <v>736</v>
      </c>
      <c r="M47" s="2">
        <v>372</v>
      </c>
      <c r="N47" s="2">
        <v>675</v>
      </c>
      <c r="O47" s="2">
        <v>766</v>
      </c>
      <c r="P47" s="2">
        <v>91</v>
      </c>
    </row>
    <row r="48" spans="2:16" s="4" customFormat="1" ht="10.5" customHeight="1">
      <c r="B48" s="6" t="s">
        <v>132</v>
      </c>
      <c r="C48" s="4">
        <f>C47/63092</f>
        <v>0.7343403284093071</v>
      </c>
      <c r="D48" s="4">
        <f>D47/63092</f>
        <v>0.06257528688264756</v>
      </c>
      <c r="E48" s="4">
        <f>E47/63092</f>
        <v>0.2030843847080454</v>
      </c>
      <c r="F48" s="4">
        <f>F47/114794</f>
        <v>0.16000836280641845</v>
      </c>
      <c r="G48" s="4">
        <f>G47/114794</f>
        <v>0.6140216387616078</v>
      </c>
      <c r="H48" s="4">
        <f>H47/114794</f>
        <v>0.2050455598724672</v>
      </c>
      <c r="I48" s="4">
        <f>I47/114794</f>
        <v>0.006263393557154555</v>
      </c>
      <c r="J48" s="4">
        <f>J47/114794</f>
        <v>0.01466104500235204</v>
      </c>
      <c r="K48" s="4">
        <f>K47/1700</f>
        <v>0.34823529411764703</v>
      </c>
      <c r="L48" s="4">
        <f>L47/1700</f>
        <v>0.4329411764705882</v>
      </c>
      <c r="M48" s="4">
        <f>M47/1700</f>
        <v>0.2188235294117647</v>
      </c>
      <c r="N48" s="4">
        <f>N47/675</f>
        <v>1</v>
      </c>
      <c r="O48" s="4">
        <f>O47/766</f>
        <v>1</v>
      </c>
      <c r="P48" s="4">
        <f>P47/91</f>
        <v>1</v>
      </c>
    </row>
    <row r="49" spans="2:16" ht="10.5" customHeight="1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0.5" customHeight="1">
      <c r="A50" s="3" t="s">
        <v>90</v>
      </c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0.5" customHeight="1">
      <c r="B51" s="5" t="s">
        <v>37</v>
      </c>
      <c r="C51" s="2">
        <v>48479</v>
      </c>
      <c r="D51" s="2">
        <v>3372</v>
      </c>
      <c r="E51" s="2">
        <v>7832</v>
      </c>
      <c r="F51" s="2">
        <v>3882</v>
      </c>
      <c r="G51" s="2">
        <v>18780</v>
      </c>
      <c r="H51" s="2">
        <v>7657</v>
      </c>
      <c r="I51" s="2">
        <v>345</v>
      </c>
      <c r="J51" s="2">
        <v>635</v>
      </c>
      <c r="K51" s="2">
        <v>284</v>
      </c>
      <c r="L51" s="2">
        <v>430</v>
      </c>
      <c r="M51" s="2">
        <v>226</v>
      </c>
      <c r="N51" s="2">
        <v>561</v>
      </c>
      <c r="O51" s="2">
        <v>346</v>
      </c>
      <c r="P51" s="2">
        <v>170</v>
      </c>
    </row>
    <row r="52" spans="1:16" ht="10.5" customHeight="1">
      <c r="A52" s="3" t="s">
        <v>76</v>
      </c>
      <c r="C52" s="2">
        <v>48479</v>
      </c>
      <c r="D52" s="2">
        <v>3372</v>
      </c>
      <c r="E52" s="2">
        <v>7832</v>
      </c>
      <c r="F52" s="2">
        <v>3882</v>
      </c>
      <c r="G52" s="2">
        <v>18780</v>
      </c>
      <c r="H52" s="2">
        <v>7657</v>
      </c>
      <c r="I52" s="2">
        <v>345</v>
      </c>
      <c r="J52" s="2">
        <v>635</v>
      </c>
      <c r="K52" s="2">
        <v>284</v>
      </c>
      <c r="L52" s="2">
        <v>430</v>
      </c>
      <c r="M52" s="2">
        <v>226</v>
      </c>
      <c r="N52" s="2">
        <v>561</v>
      </c>
      <c r="O52" s="2">
        <v>346</v>
      </c>
      <c r="P52" s="2">
        <v>170</v>
      </c>
    </row>
    <row r="53" spans="2:16" s="4" customFormat="1" ht="10.5" customHeight="1">
      <c r="B53" s="6" t="s">
        <v>132</v>
      </c>
      <c r="C53" s="4">
        <f>C52/59683</f>
        <v>0.8122748521354489</v>
      </c>
      <c r="D53" s="4">
        <f>D52/59683</f>
        <v>0.05649850041050215</v>
      </c>
      <c r="E53" s="4">
        <f>E52/59683</f>
        <v>0.13122664745404888</v>
      </c>
      <c r="F53" s="4">
        <f>F52/31299</f>
        <v>0.12402952170995879</v>
      </c>
      <c r="G53" s="4">
        <f>G52/31299</f>
        <v>0.6000191699415317</v>
      </c>
      <c r="H53" s="4">
        <f>H52/31299</f>
        <v>0.24464040384676827</v>
      </c>
      <c r="I53" s="4">
        <f>I52/31299</f>
        <v>0.01102271638071504</v>
      </c>
      <c r="J53" s="4">
        <f>J52/31299</f>
        <v>0.02028818812102623</v>
      </c>
      <c r="K53" s="4">
        <f>K52/940</f>
        <v>0.3021276595744681</v>
      </c>
      <c r="L53" s="4">
        <f>L52/940</f>
        <v>0.4574468085106383</v>
      </c>
      <c r="M53" s="4">
        <f>M52/940</f>
        <v>0.2404255319148936</v>
      </c>
      <c r="N53" s="4">
        <f>N52/561</f>
        <v>1</v>
      </c>
      <c r="O53" s="4">
        <f>O52/346</f>
        <v>1</v>
      </c>
      <c r="P53" s="4">
        <f>P52/170</f>
        <v>1</v>
      </c>
    </row>
    <row r="54" spans="2:16" ht="10.5" customHeight="1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0.5" customHeight="1">
      <c r="A55" s="3" t="s">
        <v>91</v>
      </c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0.5" customHeight="1">
      <c r="B56" s="5" t="s">
        <v>46</v>
      </c>
      <c r="C56" s="2">
        <v>40490</v>
      </c>
      <c r="D56" s="2">
        <v>1232</v>
      </c>
      <c r="E56" s="2">
        <v>3167</v>
      </c>
      <c r="F56" s="2">
        <v>3119</v>
      </c>
      <c r="G56" s="2">
        <v>8917</v>
      </c>
      <c r="H56" s="2">
        <v>6827</v>
      </c>
      <c r="I56" s="2">
        <v>167</v>
      </c>
      <c r="J56" s="2">
        <v>252</v>
      </c>
      <c r="K56" s="2">
        <v>94</v>
      </c>
      <c r="L56" s="2">
        <v>120</v>
      </c>
      <c r="M56" s="2">
        <v>93</v>
      </c>
      <c r="N56" s="2">
        <v>485</v>
      </c>
      <c r="O56" s="2">
        <v>234</v>
      </c>
      <c r="P56" s="2">
        <v>51</v>
      </c>
    </row>
    <row r="57" spans="2:16" ht="10.5" customHeight="1">
      <c r="B57" s="5" t="s">
        <v>23</v>
      </c>
      <c r="C57" s="2">
        <v>50227</v>
      </c>
      <c r="D57" s="2">
        <v>2046</v>
      </c>
      <c r="E57" s="2">
        <v>6362</v>
      </c>
      <c r="F57" s="2">
        <v>5900</v>
      </c>
      <c r="G57" s="2">
        <v>12197</v>
      </c>
      <c r="H57" s="2">
        <v>9401</v>
      </c>
      <c r="I57" s="2">
        <v>329</v>
      </c>
      <c r="J57" s="2">
        <v>667</v>
      </c>
      <c r="K57" s="2">
        <v>229</v>
      </c>
      <c r="L57" s="2">
        <v>301</v>
      </c>
      <c r="M57" s="2">
        <v>210</v>
      </c>
      <c r="N57" s="2">
        <v>934</v>
      </c>
      <c r="O57" s="2">
        <v>383</v>
      </c>
      <c r="P57" s="2">
        <v>132</v>
      </c>
    </row>
    <row r="58" spans="1:16" ht="10.5" customHeight="1">
      <c r="A58" s="3" t="s">
        <v>76</v>
      </c>
      <c r="C58" s="2">
        <v>90717</v>
      </c>
      <c r="D58" s="2">
        <v>3278</v>
      </c>
      <c r="E58" s="2">
        <v>9529</v>
      </c>
      <c r="F58" s="2">
        <v>9019</v>
      </c>
      <c r="G58" s="2">
        <v>21114</v>
      </c>
      <c r="H58" s="2">
        <v>16228</v>
      </c>
      <c r="I58" s="2">
        <v>496</v>
      </c>
      <c r="J58" s="2">
        <v>919</v>
      </c>
      <c r="K58" s="2">
        <v>323</v>
      </c>
      <c r="L58" s="2">
        <v>421</v>
      </c>
      <c r="M58" s="2">
        <v>303</v>
      </c>
      <c r="N58" s="2">
        <v>1419</v>
      </c>
      <c r="O58" s="2">
        <v>617</v>
      </c>
      <c r="P58" s="2">
        <v>183</v>
      </c>
    </row>
    <row r="59" spans="2:16" s="4" customFormat="1" ht="10.5" customHeight="1">
      <c r="B59" s="6" t="s">
        <v>132</v>
      </c>
      <c r="C59" s="4">
        <f>C58/103524</f>
        <v>0.876289556044975</v>
      </c>
      <c r="D59" s="4">
        <f>D58/103524</f>
        <v>0.031664155171747616</v>
      </c>
      <c r="E59" s="4">
        <f>E58/103524</f>
        <v>0.09204628878327731</v>
      </c>
      <c r="F59" s="4">
        <f>F58/47776</f>
        <v>0.18877679169457467</v>
      </c>
      <c r="G59" s="4">
        <f>G58/47776</f>
        <v>0.44193737441393166</v>
      </c>
      <c r="H59" s="4">
        <f>H58/47776</f>
        <v>0.3396684527796383</v>
      </c>
      <c r="I59" s="4">
        <f>I58/47776</f>
        <v>0.010381781647689216</v>
      </c>
      <c r="J59" s="4">
        <f>J58/47776</f>
        <v>0.019235599464166107</v>
      </c>
      <c r="K59" s="4">
        <f>K58/1047</f>
        <v>0.30850047755491883</v>
      </c>
      <c r="L59" s="4">
        <f>L58/1047</f>
        <v>0.40210124164278893</v>
      </c>
      <c r="M59" s="4">
        <f>M58/1047</f>
        <v>0.28939828080229224</v>
      </c>
      <c r="N59" s="4">
        <f>N58/1419</f>
        <v>1</v>
      </c>
      <c r="O59" s="4">
        <f>O58/617</f>
        <v>1</v>
      </c>
      <c r="P59" s="4">
        <f>P58/183</f>
        <v>1</v>
      </c>
    </row>
    <row r="60" spans="2:16" ht="10.5" customHeight="1"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0.5" customHeight="1">
      <c r="A61" s="3" t="s">
        <v>92</v>
      </c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0.5" customHeight="1">
      <c r="B62" s="5" t="s">
        <v>47</v>
      </c>
      <c r="C62" s="2">
        <v>33435</v>
      </c>
      <c r="D62" s="2">
        <v>1356</v>
      </c>
      <c r="E62" s="2">
        <v>4570</v>
      </c>
      <c r="F62" s="2">
        <v>3088</v>
      </c>
      <c r="G62" s="2">
        <v>6692</v>
      </c>
      <c r="H62" s="2">
        <v>4634</v>
      </c>
      <c r="I62" s="2">
        <v>147</v>
      </c>
      <c r="J62" s="2">
        <v>345</v>
      </c>
      <c r="K62" s="2">
        <v>167</v>
      </c>
      <c r="L62" s="2">
        <v>211</v>
      </c>
      <c r="M62" s="2">
        <v>186</v>
      </c>
      <c r="N62" s="2">
        <v>332</v>
      </c>
      <c r="O62" s="2">
        <v>194</v>
      </c>
      <c r="P62" s="2">
        <v>80</v>
      </c>
    </row>
    <row r="63" spans="2:16" ht="10.5" customHeight="1">
      <c r="B63" s="5" t="s">
        <v>38</v>
      </c>
      <c r="C63" s="2">
        <v>18323</v>
      </c>
      <c r="D63" s="2">
        <v>858</v>
      </c>
      <c r="E63" s="2">
        <v>3630</v>
      </c>
      <c r="F63" s="2">
        <v>2782</v>
      </c>
      <c r="G63" s="2">
        <v>7806</v>
      </c>
      <c r="H63" s="2">
        <v>3275</v>
      </c>
      <c r="I63" s="2">
        <v>114</v>
      </c>
      <c r="J63" s="2">
        <v>305</v>
      </c>
      <c r="K63" s="2">
        <v>121</v>
      </c>
      <c r="L63" s="2">
        <v>175</v>
      </c>
      <c r="M63" s="2">
        <v>64</v>
      </c>
      <c r="N63" s="2">
        <v>94</v>
      </c>
      <c r="O63" s="2">
        <v>116</v>
      </c>
      <c r="P63" s="2">
        <v>26</v>
      </c>
    </row>
    <row r="64" spans="1:16" ht="10.5" customHeight="1">
      <c r="A64" s="3" t="s">
        <v>76</v>
      </c>
      <c r="C64" s="2">
        <v>51758</v>
      </c>
      <c r="D64" s="2">
        <v>2214</v>
      </c>
      <c r="E64" s="2">
        <v>8200</v>
      </c>
      <c r="F64" s="2">
        <v>5870</v>
      </c>
      <c r="G64" s="2">
        <v>14498</v>
      </c>
      <c r="H64" s="2">
        <v>7909</v>
      </c>
      <c r="I64" s="2">
        <v>261</v>
      </c>
      <c r="J64" s="2">
        <v>650</v>
      </c>
      <c r="K64" s="2">
        <v>288</v>
      </c>
      <c r="L64" s="2">
        <v>386</v>
      </c>
      <c r="M64" s="2">
        <v>250</v>
      </c>
      <c r="N64" s="2">
        <v>426</v>
      </c>
      <c r="O64" s="2">
        <v>310</v>
      </c>
      <c r="P64" s="2">
        <v>106</v>
      </c>
    </row>
    <row r="65" spans="2:16" s="4" customFormat="1" ht="10.5" customHeight="1">
      <c r="B65" s="6" t="s">
        <v>132</v>
      </c>
      <c r="C65" s="4">
        <f>C64/62172</f>
        <v>0.8324969439619121</v>
      </c>
      <c r="D65" s="4">
        <f>D64/62172</f>
        <v>0.03561088592935727</v>
      </c>
      <c r="E65" s="4">
        <f>E64/62172</f>
        <v>0.1318921701087306</v>
      </c>
      <c r="F65" s="4">
        <f>F64/29188</f>
        <v>0.20111004522406467</v>
      </c>
      <c r="G65" s="4">
        <f>G64/29188</f>
        <v>0.4967109771138824</v>
      </c>
      <c r="H65" s="4">
        <f>H64/29188</f>
        <v>0.2709675208989996</v>
      </c>
      <c r="I65" s="4">
        <f>I64/29188</f>
        <v>0.008942030971632178</v>
      </c>
      <c r="J65" s="4">
        <f>J64/29188</f>
        <v>0.022269425791421132</v>
      </c>
      <c r="K65" s="4">
        <f>K64/924</f>
        <v>0.3116883116883117</v>
      </c>
      <c r="L65" s="4">
        <f>L64/924</f>
        <v>0.41774891774891776</v>
      </c>
      <c r="M65" s="4">
        <f>M64/924</f>
        <v>0.27056277056277056</v>
      </c>
      <c r="N65" s="4">
        <f>N64/426</f>
        <v>1</v>
      </c>
      <c r="O65" s="4">
        <f>O64/310</f>
        <v>1</v>
      </c>
      <c r="P65" s="4">
        <f>P64/106</f>
        <v>1</v>
      </c>
    </row>
    <row r="66" spans="2:16" ht="10.5" customHeight="1"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0.5" customHeight="1">
      <c r="A67" s="3" t="s">
        <v>93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0.5" customHeight="1">
      <c r="B68" s="5" t="s">
        <v>48</v>
      </c>
      <c r="C68" s="2">
        <v>77134</v>
      </c>
      <c r="D68" s="2">
        <v>2121</v>
      </c>
      <c r="E68" s="2">
        <v>3962</v>
      </c>
      <c r="F68" s="2">
        <v>2307</v>
      </c>
      <c r="G68" s="2">
        <v>5459</v>
      </c>
      <c r="H68" s="2">
        <v>6588</v>
      </c>
      <c r="I68" s="2">
        <v>165</v>
      </c>
      <c r="J68" s="2">
        <v>390</v>
      </c>
      <c r="K68" s="2">
        <v>144</v>
      </c>
      <c r="L68" s="2">
        <v>185</v>
      </c>
      <c r="M68" s="2">
        <v>165</v>
      </c>
      <c r="N68" s="2">
        <v>1528</v>
      </c>
      <c r="O68" s="2">
        <v>368</v>
      </c>
      <c r="P68" s="2">
        <v>223</v>
      </c>
    </row>
    <row r="69" spans="1:16" ht="10.5" customHeight="1">
      <c r="A69" s="3" t="s">
        <v>76</v>
      </c>
      <c r="C69" s="2">
        <v>77134</v>
      </c>
      <c r="D69" s="2">
        <v>2121</v>
      </c>
      <c r="E69" s="2">
        <v>3962</v>
      </c>
      <c r="F69" s="2">
        <v>2307</v>
      </c>
      <c r="G69" s="2">
        <v>5459</v>
      </c>
      <c r="H69" s="2">
        <v>6588</v>
      </c>
      <c r="I69" s="2">
        <v>165</v>
      </c>
      <c r="J69" s="2">
        <v>390</v>
      </c>
      <c r="K69" s="2">
        <v>144</v>
      </c>
      <c r="L69" s="2">
        <v>185</v>
      </c>
      <c r="M69" s="2">
        <v>165</v>
      </c>
      <c r="N69" s="2">
        <v>1528</v>
      </c>
      <c r="O69" s="2">
        <v>368</v>
      </c>
      <c r="P69" s="2">
        <v>223</v>
      </c>
    </row>
    <row r="70" spans="2:16" s="4" customFormat="1" ht="10.5" customHeight="1">
      <c r="B70" s="6" t="s">
        <v>132</v>
      </c>
      <c r="C70" s="4">
        <f>C69/83217</f>
        <v>0.9269019551293606</v>
      </c>
      <c r="D70" s="4">
        <f>D69/83217</f>
        <v>0.025487580662604998</v>
      </c>
      <c r="E70" s="4">
        <f>E69/83217</f>
        <v>0.047610464208034414</v>
      </c>
      <c r="F70" s="4">
        <f>F69/14909</f>
        <v>0.15473874840700247</v>
      </c>
      <c r="G70" s="4">
        <f>G69/14909</f>
        <v>0.3661546716748273</v>
      </c>
      <c r="H70" s="4">
        <f>H69/14909</f>
        <v>0.44188074317526327</v>
      </c>
      <c r="I70" s="4">
        <f>I69/14909</f>
        <v>0.011067140653296666</v>
      </c>
      <c r="J70" s="4">
        <f>J69/14909</f>
        <v>0.026158696089610304</v>
      </c>
      <c r="K70" s="4">
        <f>K69/494</f>
        <v>0.291497975708502</v>
      </c>
      <c r="L70" s="4">
        <f>L69/494</f>
        <v>0.37449392712550605</v>
      </c>
      <c r="M70" s="4">
        <f>M69/494</f>
        <v>0.3340080971659919</v>
      </c>
      <c r="N70" s="4">
        <f>N69/1528</f>
        <v>1</v>
      </c>
      <c r="O70" s="4">
        <f>O69/368</f>
        <v>1</v>
      </c>
      <c r="P70" s="4">
        <f>P69/223</f>
        <v>1</v>
      </c>
    </row>
    <row r="71" spans="2:16" ht="10.5" customHeight="1"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0.5" customHeight="1">
      <c r="A72" s="3" t="s">
        <v>94</v>
      </c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0.5" customHeight="1">
      <c r="B73" s="5" t="s">
        <v>49</v>
      </c>
      <c r="C73" s="2">
        <v>84380</v>
      </c>
      <c r="D73" s="2">
        <v>1662</v>
      </c>
      <c r="E73" s="2">
        <v>3766</v>
      </c>
      <c r="F73" s="2">
        <v>2398</v>
      </c>
      <c r="G73" s="2">
        <v>5703</v>
      </c>
      <c r="H73" s="2">
        <v>5833</v>
      </c>
      <c r="I73" s="2">
        <v>195</v>
      </c>
      <c r="J73" s="2">
        <v>281</v>
      </c>
      <c r="K73" s="2">
        <v>115</v>
      </c>
      <c r="L73" s="2">
        <v>143</v>
      </c>
      <c r="M73" s="2">
        <v>126</v>
      </c>
      <c r="N73" s="2">
        <v>1949</v>
      </c>
      <c r="O73" s="2">
        <v>288</v>
      </c>
      <c r="P73" s="2">
        <v>247</v>
      </c>
    </row>
    <row r="74" spans="1:16" ht="10.5" customHeight="1">
      <c r="A74" s="3" t="s">
        <v>76</v>
      </c>
      <c r="C74" s="2">
        <v>84380</v>
      </c>
      <c r="D74" s="2">
        <v>1662</v>
      </c>
      <c r="E74" s="2">
        <v>3766</v>
      </c>
      <c r="F74" s="2">
        <v>2398</v>
      </c>
      <c r="G74" s="2">
        <v>5703</v>
      </c>
      <c r="H74" s="2">
        <v>5833</v>
      </c>
      <c r="I74" s="2">
        <v>195</v>
      </c>
      <c r="J74" s="2">
        <v>281</v>
      </c>
      <c r="K74" s="2">
        <v>115</v>
      </c>
      <c r="L74" s="2">
        <v>143</v>
      </c>
      <c r="M74" s="2">
        <v>126</v>
      </c>
      <c r="N74" s="2">
        <v>1949</v>
      </c>
      <c r="O74" s="2">
        <v>288</v>
      </c>
      <c r="P74" s="2">
        <v>247</v>
      </c>
    </row>
    <row r="75" spans="2:16" s="4" customFormat="1" ht="10.5" customHeight="1">
      <c r="B75" s="6" t="s">
        <v>132</v>
      </c>
      <c r="C75" s="4">
        <f>C74/89808</f>
        <v>0.9395599501158026</v>
      </c>
      <c r="D75" s="4">
        <f>D74/89808</f>
        <v>0.018506146445750934</v>
      </c>
      <c r="E75" s="4">
        <f>E74/89808</f>
        <v>0.04193390343844646</v>
      </c>
      <c r="F75" s="4">
        <f>F74/14410</f>
        <v>0.166412213740458</v>
      </c>
      <c r="G75" s="4">
        <f>G74/14410</f>
        <v>0.39576682859125606</v>
      </c>
      <c r="H75" s="4">
        <f>H74/14410</f>
        <v>0.4047883414295628</v>
      </c>
      <c r="I75" s="4">
        <f>I74/14410</f>
        <v>0.013532269257460098</v>
      </c>
      <c r="J75" s="4">
        <f>J74/14410</f>
        <v>0.01950034698126301</v>
      </c>
      <c r="K75" s="4">
        <f>K74/384</f>
        <v>0.2994791666666667</v>
      </c>
      <c r="L75" s="4">
        <f>L74/384</f>
        <v>0.3723958333333333</v>
      </c>
      <c r="M75" s="4">
        <f>M74/384</f>
        <v>0.328125</v>
      </c>
      <c r="N75" s="4">
        <f>N74/1949</f>
        <v>1</v>
      </c>
      <c r="O75" s="4">
        <f>O74/288</f>
        <v>1</v>
      </c>
      <c r="P75" s="4">
        <f>P74/247</f>
        <v>1</v>
      </c>
    </row>
    <row r="76" spans="2:16" ht="10.5" customHeight="1"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0.5" customHeight="1">
      <c r="A77" s="3" t="s">
        <v>95</v>
      </c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0.5" customHeight="1">
      <c r="B78" s="5" t="s">
        <v>49</v>
      </c>
      <c r="C78" s="2">
        <v>5541</v>
      </c>
      <c r="D78" s="2">
        <v>327</v>
      </c>
      <c r="E78" s="2">
        <v>1054</v>
      </c>
      <c r="F78" s="2">
        <v>1977</v>
      </c>
      <c r="G78" s="2">
        <v>3402</v>
      </c>
      <c r="H78" s="2">
        <v>2291</v>
      </c>
      <c r="I78" s="2">
        <v>62</v>
      </c>
      <c r="J78" s="2">
        <v>109</v>
      </c>
      <c r="K78" s="2">
        <v>46</v>
      </c>
      <c r="L78" s="2">
        <v>62</v>
      </c>
      <c r="M78" s="2">
        <v>38</v>
      </c>
      <c r="N78" s="2">
        <v>27</v>
      </c>
      <c r="O78" s="2">
        <v>69</v>
      </c>
      <c r="P78" s="2">
        <v>3</v>
      </c>
    </row>
    <row r="79" spans="2:16" ht="10.5" customHeight="1">
      <c r="B79" s="5" t="s">
        <v>47</v>
      </c>
      <c r="C79" s="2">
        <v>44516</v>
      </c>
      <c r="D79" s="2">
        <v>1731</v>
      </c>
      <c r="E79" s="2">
        <v>5569</v>
      </c>
      <c r="F79" s="2">
        <v>6305</v>
      </c>
      <c r="G79" s="2">
        <v>17356</v>
      </c>
      <c r="H79" s="2">
        <v>14131</v>
      </c>
      <c r="I79" s="2">
        <v>331</v>
      </c>
      <c r="J79" s="2">
        <v>525</v>
      </c>
      <c r="K79" s="2">
        <v>249</v>
      </c>
      <c r="L79" s="2">
        <v>287</v>
      </c>
      <c r="M79" s="2">
        <v>204</v>
      </c>
      <c r="N79" s="2">
        <v>405</v>
      </c>
      <c r="O79" s="2">
        <v>291</v>
      </c>
      <c r="P79" s="2">
        <v>50</v>
      </c>
    </row>
    <row r="80" spans="2:16" ht="10.5" customHeight="1">
      <c r="B80" s="5" t="s">
        <v>37</v>
      </c>
      <c r="C80" s="2">
        <v>186</v>
      </c>
      <c r="D80" s="2">
        <v>26</v>
      </c>
      <c r="E80" s="2">
        <v>29</v>
      </c>
      <c r="F80" s="2">
        <v>31</v>
      </c>
      <c r="G80" s="2">
        <v>189</v>
      </c>
      <c r="H80" s="2">
        <v>49</v>
      </c>
      <c r="I80" s="2">
        <v>1</v>
      </c>
      <c r="J80" s="2">
        <v>1</v>
      </c>
      <c r="K80" s="2">
        <v>2</v>
      </c>
      <c r="L80" s="2">
        <v>2</v>
      </c>
      <c r="M80" s="2">
        <v>0</v>
      </c>
      <c r="N80" s="2">
        <v>3</v>
      </c>
      <c r="O80" s="2">
        <v>4</v>
      </c>
      <c r="P80" s="2">
        <v>0</v>
      </c>
    </row>
    <row r="81" spans="2:16" ht="10.5" customHeight="1">
      <c r="B81" s="5" t="s">
        <v>38</v>
      </c>
      <c r="C81" s="2">
        <v>8006</v>
      </c>
      <c r="D81" s="2">
        <v>443</v>
      </c>
      <c r="E81" s="2">
        <v>1960</v>
      </c>
      <c r="F81" s="2">
        <v>1627</v>
      </c>
      <c r="G81" s="2">
        <v>4984</v>
      </c>
      <c r="H81" s="2">
        <v>1580</v>
      </c>
      <c r="I81" s="2">
        <v>61</v>
      </c>
      <c r="J81" s="2">
        <v>156</v>
      </c>
      <c r="K81" s="2">
        <v>57</v>
      </c>
      <c r="L81" s="2">
        <v>65</v>
      </c>
      <c r="M81" s="2">
        <v>113</v>
      </c>
      <c r="N81" s="2">
        <v>36</v>
      </c>
      <c r="O81" s="2">
        <v>81</v>
      </c>
      <c r="P81" s="2">
        <v>8</v>
      </c>
    </row>
    <row r="82" spans="1:16" ht="10.5" customHeight="1">
      <c r="A82" s="3" t="s">
        <v>76</v>
      </c>
      <c r="C82" s="2">
        <v>58249</v>
      </c>
      <c r="D82" s="2">
        <v>2527</v>
      </c>
      <c r="E82" s="2">
        <v>8612</v>
      </c>
      <c r="F82" s="2">
        <v>9940</v>
      </c>
      <c r="G82" s="2">
        <v>25931</v>
      </c>
      <c r="H82" s="2">
        <v>18051</v>
      </c>
      <c r="I82" s="2">
        <v>455</v>
      </c>
      <c r="J82" s="2">
        <v>791</v>
      </c>
      <c r="K82" s="2">
        <v>354</v>
      </c>
      <c r="L82" s="2">
        <v>416</v>
      </c>
      <c r="M82" s="2">
        <v>355</v>
      </c>
      <c r="N82" s="2">
        <v>471</v>
      </c>
      <c r="O82" s="2">
        <v>445</v>
      </c>
      <c r="P82" s="2">
        <v>61</v>
      </c>
    </row>
    <row r="83" spans="2:16" s="4" customFormat="1" ht="10.5" customHeight="1">
      <c r="B83" s="6" t="s">
        <v>132</v>
      </c>
      <c r="C83" s="4">
        <f>C82/69388</f>
        <v>0.8394679195249899</v>
      </c>
      <c r="D83" s="4">
        <f>D82/69388</f>
        <v>0.0364184008762322</v>
      </c>
      <c r="E83" s="4">
        <f>E82/69388</f>
        <v>0.12411367959877789</v>
      </c>
      <c r="F83" s="4">
        <f>F82/55168</f>
        <v>0.18017691415313225</v>
      </c>
      <c r="G83" s="4">
        <f>G82/55168</f>
        <v>0.4700369779582367</v>
      </c>
      <c r="H83" s="4">
        <f>H82/55168</f>
        <v>0.3272005510440835</v>
      </c>
      <c r="I83" s="4">
        <f>I82/55168</f>
        <v>0.008247534802784224</v>
      </c>
      <c r="J83" s="4">
        <f>J82/55168</f>
        <v>0.014338022041763342</v>
      </c>
      <c r="K83" s="4">
        <f>K82/1125</f>
        <v>0.31466666666666665</v>
      </c>
      <c r="L83" s="4">
        <f>L82/1125</f>
        <v>0.36977777777777776</v>
      </c>
      <c r="M83" s="4">
        <f>M82/1125</f>
        <v>0.31555555555555553</v>
      </c>
      <c r="N83" s="4">
        <f>N82/471</f>
        <v>1</v>
      </c>
      <c r="O83" s="4">
        <f>O82/445</f>
        <v>1</v>
      </c>
      <c r="P83" s="4">
        <f>P82/61</f>
        <v>1</v>
      </c>
    </row>
    <row r="84" spans="2:16" ht="10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0.5" customHeight="1">
      <c r="A85" s="3" t="s">
        <v>96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0.5" customHeight="1">
      <c r="B86" s="5" t="s">
        <v>49</v>
      </c>
      <c r="C86" s="2">
        <v>7965</v>
      </c>
      <c r="D86" s="2">
        <v>336</v>
      </c>
      <c r="E86" s="2">
        <v>1237</v>
      </c>
      <c r="F86" s="2">
        <v>1922</v>
      </c>
      <c r="G86" s="2">
        <v>4354</v>
      </c>
      <c r="H86" s="2">
        <v>3154</v>
      </c>
      <c r="I86" s="2">
        <v>61</v>
      </c>
      <c r="J86" s="2">
        <v>135</v>
      </c>
      <c r="K86" s="2">
        <v>52</v>
      </c>
      <c r="L86" s="2">
        <v>57</v>
      </c>
      <c r="M86" s="2">
        <v>48</v>
      </c>
      <c r="N86" s="2">
        <v>40</v>
      </c>
      <c r="O86" s="2">
        <v>68</v>
      </c>
      <c r="P86" s="2">
        <v>4</v>
      </c>
    </row>
    <row r="87" spans="2:16" ht="10.5" customHeight="1">
      <c r="B87" s="5" t="s">
        <v>47</v>
      </c>
      <c r="C87" s="2">
        <v>10860</v>
      </c>
      <c r="D87" s="2">
        <v>578</v>
      </c>
      <c r="E87" s="2">
        <v>1897</v>
      </c>
      <c r="F87" s="2">
        <v>3483</v>
      </c>
      <c r="G87" s="2">
        <v>8517</v>
      </c>
      <c r="H87" s="2">
        <v>6055</v>
      </c>
      <c r="I87" s="2">
        <v>151</v>
      </c>
      <c r="J87" s="2">
        <v>227</v>
      </c>
      <c r="K87" s="2">
        <v>100</v>
      </c>
      <c r="L87" s="2">
        <v>107</v>
      </c>
      <c r="M87" s="2">
        <v>74</v>
      </c>
      <c r="N87" s="2">
        <v>51</v>
      </c>
      <c r="O87" s="2">
        <v>101</v>
      </c>
      <c r="P87" s="2">
        <v>7</v>
      </c>
    </row>
    <row r="88" spans="2:16" ht="10.5" customHeight="1">
      <c r="B88" s="5" t="s">
        <v>50</v>
      </c>
      <c r="C88" s="2">
        <v>19119</v>
      </c>
      <c r="D88" s="2">
        <v>1808</v>
      </c>
      <c r="E88" s="2">
        <v>5904</v>
      </c>
      <c r="F88" s="2">
        <v>6423</v>
      </c>
      <c r="G88" s="2">
        <v>23696</v>
      </c>
      <c r="H88" s="2">
        <v>7048</v>
      </c>
      <c r="I88" s="2">
        <v>284</v>
      </c>
      <c r="J88" s="2">
        <v>790</v>
      </c>
      <c r="K88" s="2">
        <v>254</v>
      </c>
      <c r="L88" s="2">
        <v>301</v>
      </c>
      <c r="M88" s="2">
        <v>167</v>
      </c>
      <c r="N88" s="2">
        <v>94</v>
      </c>
      <c r="O88" s="2">
        <v>178</v>
      </c>
      <c r="P88" s="2">
        <v>24</v>
      </c>
    </row>
    <row r="89" spans="2:16" ht="10.5" customHeight="1">
      <c r="B89" s="5" t="s">
        <v>51</v>
      </c>
      <c r="C89" s="2">
        <v>3056</v>
      </c>
      <c r="D89" s="2">
        <v>191</v>
      </c>
      <c r="E89" s="2">
        <v>523</v>
      </c>
      <c r="F89" s="2">
        <v>1042</v>
      </c>
      <c r="G89" s="2">
        <v>1484</v>
      </c>
      <c r="H89" s="2">
        <v>1604</v>
      </c>
      <c r="I89" s="2">
        <v>12</v>
      </c>
      <c r="J89" s="2">
        <v>78</v>
      </c>
      <c r="K89" s="2">
        <v>33</v>
      </c>
      <c r="L89" s="2">
        <v>46</v>
      </c>
      <c r="M89" s="2">
        <v>28</v>
      </c>
      <c r="N89" s="2">
        <v>14</v>
      </c>
      <c r="O89" s="2">
        <v>30</v>
      </c>
      <c r="P89" s="2">
        <v>5</v>
      </c>
    </row>
    <row r="90" spans="1:16" ht="10.5" customHeight="1">
      <c r="A90" s="3" t="s">
        <v>76</v>
      </c>
      <c r="C90" s="2">
        <v>41000</v>
      </c>
      <c r="D90" s="2">
        <v>2913</v>
      </c>
      <c r="E90" s="2">
        <v>9561</v>
      </c>
      <c r="F90" s="2">
        <v>12870</v>
      </c>
      <c r="G90" s="2">
        <v>38051</v>
      </c>
      <c r="H90" s="2">
        <v>17861</v>
      </c>
      <c r="I90" s="2">
        <v>508</v>
      </c>
      <c r="J90" s="2">
        <v>1230</v>
      </c>
      <c r="K90" s="2">
        <v>439</v>
      </c>
      <c r="L90" s="2">
        <v>511</v>
      </c>
      <c r="M90" s="2">
        <v>317</v>
      </c>
      <c r="N90" s="2">
        <v>199</v>
      </c>
      <c r="O90" s="2">
        <v>377</v>
      </c>
      <c r="P90" s="2">
        <v>40</v>
      </c>
    </row>
    <row r="91" spans="2:16" s="4" customFormat="1" ht="10.5" customHeight="1">
      <c r="B91" s="6" t="s">
        <v>132</v>
      </c>
      <c r="C91" s="4">
        <f>C90/53474</f>
        <v>0.7667277555447507</v>
      </c>
      <c r="D91" s="4">
        <f>D90/53474</f>
        <v>0.05447507199760631</v>
      </c>
      <c r="E91" s="4">
        <f>E90/53474</f>
        <v>0.17879717245764296</v>
      </c>
      <c r="F91" s="4">
        <f>F90/70520</f>
        <v>0.1825014180374362</v>
      </c>
      <c r="G91" s="4">
        <f>G90/70520</f>
        <v>0.5395774248440158</v>
      </c>
      <c r="H91" s="4">
        <f>H90/70520</f>
        <v>0.25327566647759503</v>
      </c>
      <c r="I91" s="4">
        <f>I90/70520</f>
        <v>0.007203630175836642</v>
      </c>
      <c r="J91" s="4">
        <f>J90/70520</f>
        <v>0.01744186046511628</v>
      </c>
      <c r="K91" s="4">
        <f>K90/1267</f>
        <v>0.34648776637726914</v>
      </c>
      <c r="L91" s="4">
        <f>L90/1267</f>
        <v>0.40331491712707185</v>
      </c>
      <c r="M91" s="4">
        <f>M90/1267</f>
        <v>0.250197316495659</v>
      </c>
      <c r="N91" s="4">
        <f>N90/199</f>
        <v>1</v>
      </c>
      <c r="O91" s="4">
        <f>O90/377</f>
        <v>1</v>
      </c>
      <c r="P91" s="4">
        <f>P90/40</f>
        <v>1</v>
      </c>
    </row>
    <row r="92" spans="2:16" ht="10.5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0.5" customHeight="1">
      <c r="A93" s="3" t="s">
        <v>97</v>
      </c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0.5" customHeight="1">
      <c r="B94" s="5" t="s">
        <v>48</v>
      </c>
      <c r="C94" s="2">
        <v>17909</v>
      </c>
      <c r="D94" s="2">
        <v>623</v>
      </c>
      <c r="E94" s="2">
        <v>1301</v>
      </c>
      <c r="F94" s="2">
        <v>763</v>
      </c>
      <c r="G94" s="2">
        <v>2326</v>
      </c>
      <c r="H94" s="2">
        <v>2400</v>
      </c>
      <c r="I94" s="2">
        <v>55</v>
      </c>
      <c r="J94" s="2">
        <v>112</v>
      </c>
      <c r="K94" s="2">
        <v>39</v>
      </c>
      <c r="L94" s="2">
        <v>64</v>
      </c>
      <c r="M94" s="2">
        <v>45</v>
      </c>
      <c r="N94" s="2">
        <v>303</v>
      </c>
      <c r="O94" s="2">
        <v>77</v>
      </c>
      <c r="P94" s="2">
        <v>40</v>
      </c>
    </row>
    <row r="95" spans="2:16" ht="10.5" customHeight="1">
      <c r="B95" s="5" t="s">
        <v>52</v>
      </c>
      <c r="C95" s="2">
        <v>41570</v>
      </c>
      <c r="D95" s="2">
        <v>1385</v>
      </c>
      <c r="E95" s="2">
        <v>4545</v>
      </c>
      <c r="F95" s="2">
        <v>3800</v>
      </c>
      <c r="G95" s="2">
        <v>9940</v>
      </c>
      <c r="H95" s="2">
        <v>9318</v>
      </c>
      <c r="I95" s="2">
        <v>134</v>
      </c>
      <c r="J95" s="2">
        <v>336</v>
      </c>
      <c r="K95" s="2">
        <v>151</v>
      </c>
      <c r="L95" s="2">
        <v>230</v>
      </c>
      <c r="M95" s="2">
        <v>174</v>
      </c>
      <c r="N95" s="2">
        <v>368</v>
      </c>
      <c r="O95" s="2">
        <v>237</v>
      </c>
      <c r="P95" s="2">
        <v>47</v>
      </c>
    </row>
    <row r="96" spans="1:16" ht="10.5" customHeight="1">
      <c r="A96" s="3" t="s">
        <v>76</v>
      </c>
      <c r="C96" s="2">
        <v>59479</v>
      </c>
      <c r="D96" s="2">
        <v>2008</v>
      </c>
      <c r="E96" s="2">
        <v>5846</v>
      </c>
      <c r="F96" s="2">
        <v>4563</v>
      </c>
      <c r="G96" s="2">
        <v>12266</v>
      </c>
      <c r="H96" s="2">
        <v>11718</v>
      </c>
      <c r="I96" s="2">
        <v>189</v>
      </c>
      <c r="J96" s="2">
        <v>448</v>
      </c>
      <c r="K96" s="2">
        <v>190</v>
      </c>
      <c r="L96" s="2">
        <v>294</v>
      </c>
      <c r="M96" s="2">
        <v>219</v>
      </c>
      <c r="N96" s="2">
        <v>671</v>
      </c>
      <c r="O96" s="2">
        <v>314</v>
      </c>
      <c r="P96" s="2">
        <v>87</v>
      </c>
    </row>
    <row r="97" spans="2:16" s="4" customFormat="1" ht="10.5" customHeight="1">
      <c r="B97" s="6" t="s">
        <v>132</v>
      </c>
      <c r="C97" s="4">
        <f>C96/67333</f>
        <v>0.8833558581973178</v>
      </c>
      <c r="D97" s="4">
        <f>D96/67333</f>
        <v>0.02982192981153372</v>
      </c>
      <c r="E97" s="4">
        <f>E96/67333</f>
        <v>0.08682221199114847</v>
      </c>
      <c r="F97" s="4">
        <f>F96/29184</f>
        <v>0.15635279605263158</v>
      </c>
      <c r="G97" s="4">
        <f>G96/29184</f>
        <v>0.42029879385964913</v>
      </c>
      <c r="H97" s="4">
        <f>H96/29184</f>
        <v>0.40152138157894735</v>
      </c>
      <c r="I97" s="4">
        <f>I96/29184</f>
        <v>0.006476151315789474</v>
      </c>
      <c r="J97" s="4">
        <f>J96/29184</f>
        <v>0.015350877192982455</v>
      </c>
      <c r="K97" s="4">
        <f>K96/703</f>
        <v>0.2702702702702703</v>
      </c>
      <c r="L97" s="4">
        <f>L96/703</f>
        <v>0.4182076813655761</v>
      </c>
      <c r="M97" s="4">
        <f>M96/703</f>
        <v>0.31152204836415365</v>
      </c>
      <c r="N97" s="4">
        <f>N96/671</f>
        <v>1</v>
      </c>
      <c r="O97" s="4">
        <f>O96/314</f>
        <v>1</v>
      </c>
      <c r="P97" s="4">
        <f>P96/87</f>
        <v>1</v>
      </c>
    </row>
    <row r="98" spans="2:16" ht="10.5" customHeight="1"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0.5" customHeight="1">
      <c r="A99" s="3" t="s">
        <v>98</v>
      </c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0.5" customHeight="1">
      <c r="B100" s="5" t="s">
        <v>49</v>
      </c>
      <c r="C100" s="2">
        <v>50755</v>
      </c>
      <c r="D100" s="2">
        <v>2044</v>
      </c>
      <c r="E100" s="2">
        <v>6582</v>
      </c>
      <c r="F100" s="2">
        <v>4824</v>
      </c>
      <c r="G100" s="2">
        <v>9700</v>
      </c>
      <c r="H100" s="2">
        <v>8468</v>
      </c>
      <c r="I100" s="2">
        <v>280</v>
      </c>
      <c r="J100" s="2">
        <v>537</v>
      </c>
      <c r="K100" s="2">
        <v>249</v>
      </c>
      <c r="L100" s="2">
        <v>221</v>
      </c>
      <c r="M100" s="2">
        <v>179</v>
      </c>
      <c r="N100" s="2">
        <v>452</v>
      </c>
      <c r="O100" s="2">
        <v>262</v>
      </c>
      <c r="P100" s="2">
        <v>77</v>
      </c>
    </row>
    <row r="101" spans="1:16" ht="10.5" customHeight="1">
      <c r="A101" s="3" t="s">
        <v>76</v>
      </c>
      <c r="C101" s="2">
        <v>50755</v>
      </c>
      <c r="D101" s="2">
        <v>2044</v>
      </c>
      <c r="E101" s="2">
        <v>6582</v>
      </c>
      <c r="F101" s="2">
        <v>4824</v>
      </c>
      <c r="G101" s="2">
        <v>9700</v>
      </c>
      <c r="H101" s="2">
        <v>8468</v>
      </c>
      <c r="I101" s="2">
        <v>280</v>
      </c>
      <c r="J101" s="2">
        <v>537</v>
      </c>
      <c r="K101" s="2">
        <v>249</v>
      </c>
      <c r="L101" s="2">
        <v>221</v>
      </c>
      <c r="M101" s="2">
        <v>179</v>
      </c>
      <c r="N101" s="2">
        <v>452</v>
      </c>
      <c r="O101" s="2">
        <v>262</v>
      </c>
      <c r="P101" s="2">
        <v>77</v>
      </c>
    </row>
    <row r="102" spans="2:16" s="4" customFormat="1" ht="10.5" customHeight="1">
      <c r="B102" s="6" t="s">
        <v>132</v>
      </c>
      <c r="C102" s="4">
        <f>C101/59381</f>
        <v>0.8547346794429195</v>
      </c>
      <c r="D102" s="4">
        <f>D101/59381</f>
        <v>0.03442178474596251</v>
      </c>
      <c r="E102" s="4">
        <f>E101/59381</f>
        <v>0.11084353581111804</v>
      </c>
      <c r="F102" s="4">
        <f>F101/23809</f>
        <v>0.20261245747406442</v>
      </c>
      <c r="G102" s="4">
        <f>G101/23809</f>
        <v>0.40740896299718593</v>
      </c>
      <c r="H102" s="4">
        <f>H101/23809</f>
        <v>0.3556638246041413</v>
      </c>
      <c r="I102" s="4">
        <f>I101/23809</f>
        <v>0.011760258725691966</v>
      </c>
      <c r="J102" s="4">
        <f>J101/23809</f>
        <v>0.022554496198916377</v>
      </c>
      <c r="K102" s="4">
        <f>K101/649</f>
        <v>0.38366718027734975</v>
      </c>
      <c r="L102" s="4">
        <f>L101/649</f>
        <v>0.3405238828967643</v>
      </c>
      <c r="M102" s="4">
        <f>M101/649</f>
        <v>0.275808936825886</v>
      </c>
      <c r="N102" s="4">
        <f>N101/452</f>
        <v>1</v>
      </c>
      <c r="O102" s="4">
        <f>O101/262</f>
        <v>1</v>
      </c>
      <c r="P102" s="4">
        <f>P101/77</f>
        <v>1</v>
      </c>
    </row>
    <row r="103" spans="2:16" ht="10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0.5" customHeight="1">
      <c r="A104" s="3" t="s">
        <v>99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0.5" customHeight="1">
      <c r="B105" s="5" t="s">
        <v>52</v>
      </c>
      <c r="C105" s="2">
        <v>17285</v>
      </c>
      <c r="D105" s="2">
        <v>542</v>
      </c>
      <c r="E105" s="2">
        <v>1365</v>
      </c>
      <c r="F105" s="2">
        <v>1565</v>
      </c>
      <c r="G105" s="2">
        <v>4132</v>
      </c>
      <c r="H105" s="2">
        <v>5221</v>
      </c>
      <c r="I105" s="2">
        <v>57</v>
      </c>
      <c r="J105" s="2">
        <v>152</v>
      </c>
      <c r="K105" s="2">
        <v>64</v>
      </c>
      <c r="L105" s="2">
        <v>78</v>
      </c>
      <c r="M105" s="2">
        <v>59</v>
      </c>
      <c r="N105" s="2">
        <v>202</v>
      </c>
      <c r="O105" s="2">
        <v>160</v>
      </c>
      <c r="P105" s="2">
        <v>13</v>
      </c>
    </row>
    <row r="106" spans="2:16" ht="10.5" customHeight="1">
      <c r="B106" s="5" t="s">
        <v>51</v>
      </c>
      <c r="C106" s="2">
        <v>38224</v>
      </c>
      <c r="D106" s="2">
        <v>1118</v>
      </c>
      <c r="E106" s="2">
        <v>3227</v>
      </c>
      <c r="F106" s="2">
        <v>3734</v>
      </c>
      <c r="G106" s="2">
        <v>8423</v>
      </c>
      <c r="H106" s="2">
        <v>15195</v>
      </c>
      <c r="I106" s="2">
        <v>92</v>
      </c>
      <c r="J106" s="2">
        <v>299</v>
      </c>
      <c r="K106" s="2">
        <v>81</v>
      </c>
      <c r="L106" s="2">
        <v>171</v>
      </c>
      <c r="M106" s="2">
        <v>112</v>
      </c>
      <c r="N106" s="2">
        <v>343</v>
      </c>
      <c r="O106" s="2">
        <v>334</v>
      </c>
      <c r="P106" s="2">
        <v>35</v>
      </c>
    </row>
    <row r="107" spans="2:16" ht="10.5" customHeight="1">
      <c r="B107" s="5" t="s">
        <v>53</v>
      </c>
      <c r="C107" s="2">
        <v>8467</v>
      </c>
      <c r="D107" s="2">
        <v>339</v>
      </c>
      <c r="E107" s="2">
        <v>1004</v>
      </c>
      <c r="F107" s="2">
        <v>921</v>
      </c>
      <c r="G107" s="2">
        <v>2420</v>
      </c>
      <c r="H107" s="2">
        <v>2605</v>
      </c>
      <c r="I107" s="2">
        <v>38</v>
      </c>
      <c r="J107" s="2">
        <v>86</v>
      </c>
      <c r="K107" s="2">
        <v>37</v>
      </c>
      <c r="L107" s="2">
        <v>52</v>
      </c>
      <c r="M107" s="2">
        <v>33</v>
      </c>
      <c r="N107" s="2">
        <v>198</v>
      </c>
      <c r="O107" s="2">
        <v>134</v>
      </c>
      <c r="P107" s="2">
        <v>20</v>
      </c>
    </row>
    <row r="108" spans="1:16" ht="10.5" customHeight="1">
      <c r="A108" s="3" t="s">
        <v>76</v>
      </c>
      <c r="C108" s="2">
        <v>63976</v>
      </c>
      <c r="D108" s="2">
        <v>1999</v>
      </c>
      <c r="E108" s="2">
        <v>5596</v>
      </c>
      <c r="F108" s="2">
        <v>6220</v>
      </c>
      <c r="G108" s="2">
        <v>14975</v>
      </c>
      <c r="H108" s="2">
        <v>23021</v>
      </c>
      <c r="I108" s="2">
        <v>187</v>
      </c>
      <c r="J108" s="2">
        <v>537</v>
      </c>
      <c r="K108" s="2">
        <v>182</v>
      </c>
      <c r="L108" s="2">
        <v>301</v>
      </c>
      <c r="M108" s="2">
        <v>204</v>
      </c>
      <c r="N108" s="2">
        <v>743</v>
      </c>
      <c r="O108" s="2">
        <v>628</v>
      </c>
      <c r="P108" s="2">
        <v>68</v>
      </c>
    </row>
    <row r="109" spans="2:16" s="4" customFormat="1" ht="10.5" customHeight="1">
      <c r="B109" s="6" t="s">
        <v>132</v>
      </c>
      <c r="C109" s="4">
        <f>C108/71571</f>
        <v>0.8938816000894217</v>
      </c>
      <c r="D109" s="4">
        <f>D108/71571</f>
        <v>0.027930306967905997</v>
      </c>
      <c r="E109" s="4">
        <f>E108/71571</f>
        <v>0.07818809294267232</v>
      </c>
      <c r="F109" s="4">
        <f>F108/44940</f>
        <v>0.13840676457498888</v>
      </c>
      <c r="G109" s="4">
        <f>G108/44940</f>
        <v>0.3332220738762795</v>
      </c>
      <c r="H109" s="4">
        <f>H108/44940</f>
        <v>0.5122607921673342</v>
      </c>
      <c r="I109" s="4">
        <f>I108/44940</f>
        <v>0.004161103693813974</v>
      </c>
      <c r="J109" s="4">
        <f>J108/44940</f>
        <v>0.011949265687583444</v>
      </c>
      <c r="K109" s="4">
        <f>K108/687</f>
        <v>0.264919941775837</v>
      </c>
      <c r="L109" s="4">
        <f>L108/687</f>
        <v>0.438136826783115</v>
      </c>
      <c r="M109" s="4">
        <f>M108/687</f>
        <v>0.29694323144104806</v>
      </c>
      <c r="N109" s="4">
        <f>N108/743</f>
        <v>1</v>
      </c>
      <c r="O109" s="4">
        <f>O108/628</f>
        <v>1</v>
      </c>
      <c r="P109" s="4">
        <f>P108/68</f>
        <v>1</v>
      </c>
    </row>
    <row r="110" spans="2:16" ht="10.5" customHeight="1"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0.5" customHeight="1">
      <c r="A111" s="3" t="s">
        <v>100</v>
      </c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0.5" customHeight="1">
      <c r="B112" s="5" t="s">
        <v>51</v>
      </c>
      <c r="C112" s="2">
        <v>51775</v>
      </c>
      <c r="D112" s="2">
        <v>2239</v>
      </c>
      <c r="E112" s="2">
        <v>6976</v>
      </c>
      <c r="F112" s="2">
        <v>7360</v>
      </c>
      <c r="G112" s="2">
        <v>12921</v>
      </c>
      <c r="H112" s="2">
        <v>19172</v>
      </c>
      <c r="I112" s="2">
        <v>187</v>
      </c>
      <c r="J112" s="2">
        <v>618</v>
      </c>
      <c r="K112" s="2">
        <v>330</v>
      </c>
      <c r="L112" s="2">
        <v>366</v>
      </c>
      <c r="M112" s="2">
        <v>314</v>
      </c>
      <c r="N112" s="2">
        <v>337</v>
      </c>
      <c r="O112" s="2">
        <v>471</v>
      </c>
      <c r="P112" s="2">
        <v>105</v>
      </c>
    </row>
    <row r="113" spans="1:16" ht="10.5" customHeight="1">
      <c r="A113" s="3" t="s">
        <v>76</v>
      </c>
      <c r="C113" s="2">
        <v>51775</v>
      </c>
      <c r="D113" s="2">
        <v>2239</v>
      </c>
      <c r="E113" s="2">
        <v>6976</v>
      </c>
      <c r="F113" s="2">
        <v>7360</v>
      </c>
      <c r="G113" s="2">
        <v>12921</v>
      </c>
      <c r="H113" s="2">
        <v>19172</v>
      </c>
      <c r="I113" s="2">
        <v>187</v>
      </c>
      <c r="J113" s="2">
        <v>618</v>
      </c>
      <c r="K113" s="2">
        <v>330</v>
      </c>
      <c r="L113" s="2">
        <v>366</v>
      </c>
      <c r="M113" s="2">
        <v>314</v>
      </c>
      <c r="N113" s="2">
        <v>337</v>
      </c>
      <c r="O113" s="2">
        <v>471</v>
      </c>
      <c r="P113" s="2">
        <v>105</v>
      </c>
    </row>
    <row r="114" spans="2:16" s="4" customFormat="1" ht="10.5" customHeight="1">
      <c r="B114" s="6" t="s">
        <v>132</v>
      </c>
      <c r="C114" s="4">
        <f>C113/60990</f>
        <v>0.8489096573208723</v>
      </c>
      <c r="D114" s="4">
        <f>D113/60990</f>
        <v>0.036710936219052304</v>
      </c>
      <c r="E114" s="4">
        <f>E113/60990</f>
        <v>0.11437940646007543</v>
      </c>
      <c r="F114" s="4">
        <f>F113/40258</f>
        <v>0.1828208058025734</v>
      </c>
      <c r="G114" s="4">
        <f>G113/40258</f>
        <v>0.3209548412737841</v>
      </c>
      <c r="H114" s="4">
        <f>H113/40258</f>
        <v>0.47622832728898606</v>
      </c>
      <c r="I114" s="4">
        <f>I113/40258</f>
        <v>0.004645039495255601</v>
      </c>
      <c r="J114" s="4">
        <f>J113/40258</f>
        <v>0.015350986139400865</v>
      </c>
      <c r="K114" s="4">
        <f>K113/1010</f>
        <v>0.32673267326732675</v>
      </c>
      <c r="L114" s="4">
        <f>L113/1010</f>
        <v>0.36237623762376237</v>
      </c>
      <c r="M114" s="4">
        <f>M113/1010</f>
        <v>0.3108910891089109</v>
      </c>
      <c r="N114" s="4">
        <f>N113/337</f>
        <v>1</v>
      </c>
      <c r="O114" s="4">
        <f>O113/471</f>
        <v>1</v>
      </c>
      <c r="P114" s="4">
        <f>P113/105</f>
        <v>1</v>
      </c>
    </row>
    <row r="115" spans="2:16" ht="10.5" customHeight="1"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0.5" customHeight="1">
      <c r="A116" s="3" t="s">
        <v>101</v>
      </c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0.5" customHeight="1">
      <c r="B117" s="5" t="s">
        <v>51</v>
      </c>
      <c r="C117" s="2">
        <v>44109</v>
      </c>
      <c r="D117" s="2">
        <v>1885</v>
      </c>
      <c r="E117" s="2">
        <v>6251</v>
      </c>
      <c r="F117" s="2">
        <v>6111</v>
      </c>
      <c r="G117" s="2">
        <v>10279</v>
      </c>
      <c r="H117" s="2">
        <v>14102</v>
      </c>
      <c r="I117" s="2">
        <v>138</v>
      </c>
      <c r="J117" s="2">
        <v>477</v>
      </c>
      <c r="K117" s="2">
        <v>268</v>
      </c>
      <c r="L117" s="2">
        <v>303</v>
      </c>
      <c r="M117" s="2">
        <v>317</v>
      </c>
      <c r="N117" s="2">
        <v>302</v>
      </c>
      <c r="O117" s="2">
        <v>307</v>
      </c>
      <c r="P117" s="2">
        <v>104</v>
      </c>
    </row>
    <row r="118" spans="1:16" ht="10.5" customHeight="1">
      <c r="A118" s="3" t="s">
        <v>76</v>
      </c>
      <c r="C118" s="2">
        <v>44109</v>
      </c>
      <c r="D118" s="2">
        <v>1885</v>
      </c>
      <c r="E118" s="2">
        <v>6251</v>
      </c>
      <c r="F118" s="2">
        <v>6111</v>
      </c>
      <c r="G118" s="2">
        <v>10279</v>
      </c>
      <c r="H118" s="2">
        <v>14102</v>
      </c>
      <c r="I118" s="2">
        <v>138</v>
      </c>
      <c r="J118" s="2">
        <v>477</v>
      </c>
      <c r="K118" s="2">
        <v>268</v>
      </c>
      <c r="L118" s="2">
        <v>303</v>
      </c>
      <c r="M118" s="2">
        <v>317</v>
      </c>
      <c r="N118" s="2">
        <v>302</v>
      </c>
      <c r="O118" s="2">
        <v>307</v>
      </c>
      <c r="P118" s="2">
        <v>104</v>
      </c>
    </row>
    <row r="119" spans="2:16" s="4" customFormat="1" ht="10.5" customHeight="1">
      <c r="B119" s="6" t="s">
        <v>132</v>
      </c>
      <c r="C119" s="4">
        <f>C118/52245</f>
        <v>0.8442721791559001</v>
      </c>
      <c r="D119" s="4">
        <f>D118/52245</f>
        <v>0.03608000765623505</v>
      </c>
      <c r="E119" s="4">
        <f>E118/52245</f>
        <v>0.11964781318786487</v>
      </c>
      <c r="F119" s="4">
        <f>F118/31107</f>
        <v>0.19645095959108883</v>
      </c>
      <c r="G119" s="4">
        <f>G118/31107</f>
        <v>0.33044009386954704</v>
      </c>
      <c r="H119" s="4">
        <f>H118/31107</f>
        <v>0.4533384768701578</v>
      </c>
      <c r="I119" s="4">
        <f>I118/31107</f>
        <v>0.004436300511138972</v>
      </c>
      <c r="J119" s="4">
        <f>J118/31107</f>
        <v>0.015334169158067316</v>
      </c>
      <c r="K119" s="4">
        <f>K118/888</f>
        <v>0.30180180180180183</v>
      </c>
      <c r="L119" s="4">
        <f>L118/888</f>
        <v>0.34121621621621623</v>
      </c>
      <c r="M119" s="4">
        <f>M118/888</f>
        <v>0.356981981981982</v>
      </c>
      <c r="N119" s="4">
        <f>N118/302</f>
        <v>1</v>
      </c>
      <c r="O119" s="4">
        <f>O118/307</f>
        <v>1</v>
      </c>
      <c r="P119" s="4">
        <f>P118/104</f>
        <v>1</v>
      </c>
    </row>
    <row r="120" spans="2:16" ht="10.5" customHeight="1"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0.5" customHeight="1">
      <c r="A121" s="3" t="s">
        <v>102</v>
      </c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0.5" customHeight="1">
      <c r="B122" s="5" t="s">
        <v>54</v>
      </c>
      <c r="C122" s="2">
        <v>26042</v>
      </c>
      <c r="D122" s="2">
        <v>1473</v>
      </c>
      <c r="E122" s="2">
        <v>3884</v>
      </c>
      <c r="F122" s="2">
        <v>3210</v>
      </c>
      <c r="G122" s="2">
        <v>8897</v>
      </c>
      <c r="H122" s="2">
        <v>8160</v>
      </c>
      <c r="I122" s="2">
        <v>215</v>
      </c>
      <c r="J122" s="2">
        <v>436</v>
      </c>
      <c r="K122" s="2">
        <v>170</v>
      </c>
      <c r="L122" s="2">
        <v>203</v>
      </c>
      <c r="M122" s="2">
        <v>111</v>
      </c>
      <c r="N122" s="2">
        <v>231</v>
      </c>
      <c r="O122" s="2">
        <v>169</v>
      </c>
      <c r="P122" s="2">
        <v>30</v>
      </c>
    </row>
    <row r="123" spans="2:16" ht="10.5" customHeight="1">
      <c r="B123" s="5" t="s">
        <v>55</v>
      </c>
      <c r="C123" s="2">
        <v>3916</v>
      </c>
      <c r="D123" s="2">
        <v>218</v>
      </c>
      <c r="E123" s="2">
        <v>930</v>
      </c>
      <c r="F123" s="2">
        <v>913</v>
      </c>
      <c r="G123" s="2">
        <v>1715</v>
      </c>
      <c r="H123" s="2">
        <v>1452</v>
      </c>
      <c r="I123" s="2">
        <v>28</v>
      </c>
      <c r="J123" s="2">
        <v>87</v>
      </c>
      <c r="K123" s="2">
        <v>30</v>
      </c>
      <c r="L123" s="2">
        <v>48</v>
      </c>
      <c r="M123" s="2">
        <v>26</v>
      </c>
      <c r="N123" s="2">
        <v>27</v>
      </c>
      <c r="O123" s="2">
        <v>21</v>
      </c>
      <c r="P123" s="2">
        <v>5</v>
      </c>
    </row>
    <row r="124" spans="2:16" ht="10.5" customHeight="1">
      <c r="B124" s="5" t="s">
        <v>53</v>
      </c>
      <c r="C124" s="2">
        <v>19528</v>
      </c>
      <c r="D124" s="2">
        <v>674</v>
      </c>
      <c r="E124" s="2">
        <v>1946</v>
      </c>
      <c r="F124" s="2">
        <v>1023</v>
      </c>
      <c r="G124" s="2">
        <v>3576</v>
      </c>
      <c r="H124" s="2">
        <v>3726</v>
      </c>
      <c r="I124" s="2">
        <v>79</v>
      </c>
      <c r="J124" s="2">
        <v>157</v>
      </c>
      <c r="K124" s="2">
        <v>71</v>
      </c>
      <c r="L124" s="2">
        <v>90</v>
      </c>
      <c r="M124" s="2">
        <v>59</v>
      </c>
      <c r="N124" s="2">
        <v>367</v>
      </c>
      <c r="O124" s="2">
        <v>152</v>
      </c>
      <c r="P124" s="2">
        <v>57</v>
      </c>
    </row>
    <row r="125" spans="1:16" ht="10.5" customHeight="1">
      <c r="A125" s="3" t="s">
        <v>76</v>
      </c>
      <c r="C125" s="2">
        <v>49486</v>
      </c>
      <c r="D125" s="2">
        <v>2365</v>
      </c>
      <c r="E125" s="2">
        <v>6760</v>
      </c>
      <c r="F125" s="2">
        <v>5146</v>
      </c>
      <c r="G125" s="2">
        <v>14188</v>
      </c>
      <c r="H125" s="2">
        <v>13338</v>
      </c>
      <c r="I125" s="2">
        <v>322</v>
      </c>
      <c r="J125" s="2">
        <v>680</v>
      </c>
      <c r="K125" s="2">
        <v>271</v>
      </c>
      <c r="L125" s="2">
        <v>341</v>
      </c>
      <c r="M125" s="2">
        <v>196</v>
      </c>
      <c r="N125" s="2">
        <v>625</v>
      </c>
      <c r="O125" s="2">
        <v>342</v>
      </c>
      <c r="P125" s="2">
        <v>92</v>
      </c>
    </row>
    <row r="126" spans="2:16" s="4" customFormat="1" ht="10.5" customHeight="1">
      <c r="B126" s="6" t="s">
        <v>132</v>
      </c>
      <c r="C126" s="4">
        <f>C125/58611</f>
        <v>0.8443125010663527</v>
      </c>
      <c r="D126" s="4">
        <f>D125/58611</f>
        <v>0.04035078739485762</v>
      </c>
      <c r="E126" s="4">
        <f>E125/58611</f>
        <v>0.11533671153878965</v>
      </c>
      <c r="F126" s="4">
        <f>F125/33674</f>
        <v>0.1528181980162737</v>
      </c>
      <c r="G126" s="4">
        <f>G125/33674</f>
        <v>0.42133396685870406</v>
      </c>
      <c r="H126" s="4">
        <f>H125/33674</f>
        <v>0.39609194036942447</v>
      </c>
      <c r="I126" s="4">
        <f>I125/33674</f>
        <v>0.009562273564174141</v>
      </c>
      <c r="J126" s="4">
        <f>J125/33674</f>
        <v>0.02019362119142365</v>
      </c>
      <c r="K126" s="4">
        <f>K125/808</f>
        <v>0.3353960396039604</v>
      </c>
      <c r="L126" s="4">
        <f>L125/808</f>
        <v>0.422029702970297</v>
      </c>
      <c r="M126" s="4">
        <f>M125/808</f>
        <v>0.24257425742574257</v>
      </c>
      <c r="N126" s="4">
        <f>N125/625</f>
        <v>1</v>
      </c>
      <c r="O126" s="4">
        <f>O125/342</f>
        <v>1</v>
      </c>
      <c r="P126" s="4">
        <f>P125/92</f>
        <v>1</v>
      </c>
    </row>
    <row r="127" spans="2:16" ht="10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0.5" customHeight="1">
      <c r="A128" s="3" t="s">
        <v>103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0.5" customHeight="1">
      <c r="B129" s="5" t="s">
        <v>56</v>
      </c>
      <c r="C129" s="2">
        <v>105</v>
      </c>
      <c r="D129" s="2">
        <v>18</v>
      </c>
      <c r="E129" s="2">
        <v>55</v>
      </c>
      <c r="F129" s="2">
        <v>37</v>
      </c>
      <c r="G129" s="2">
        <v>291</v>
      </c>
      <c r="H129" s="2">
        <v>52</v>
      </c>
      <c r="I129" s="2">
        <v>3</v>
      </c>
      <c r="J129" s="2">
        <v>7</v>
      </c>
      <c r="K129" s="2">
        <v>1</v>
      </c>
      <c r="L129" s="2">
        <v>2</v>
      </c>
      <c r="M129" s="2">
        <v>2</v>
      </c>
      <c r="N129" s="2">
        <v>0</v>
      </c>
      <c r="O129" s="2">
        <v>1</v>
      </c>
      <c r="P129" s="2">
        <v>0</v>
      </c>
    </row>
    <row r="130" spans="2:16" ht="10.5" customHeight="1">
      <c r="B130" s="5" t="s">
        <v>57</v>
      </c>
      <c r="C130" s="2">
        <v>43</v>
      </c>
      <c r="D130" s="2">
        <v>7</v>
      </c>
      <c r="E130" s="2">
        <v>17</v>
      </c>
      <c r="F130" s="2">
        <v>36</v>
      </c>
      <c r="G130" s="2">
        <v>150</v>
      </c>
      <c r="H130" s="2">
        <v>25</v>
      </c>
      <c r="I130" s="2">
        <v>3</v>
      </c>
      <c r="J130" s="2">
        <v>2</v>
      </c>
      <c r="K130" s="2">
        <v>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</row>
    <row r="131" spans="2:16" ht="10.5" customHeight="1">
      <c r="B131" s="5" t="s">
        <v>58</v>
      </c>
      <c r="C131" s="2">
        <v>6592</v>
      </c>
      <c r="D131" s="2">
        <v>718</v>
      </c>
      <c r="E131" s="2">
        <v>2435</v>
      </c>
      <c r="F131" s="2">
        <v>1969</v>
      </c>
      <c r="G131" s="2">
        <v>7984</v>
      </c>
      <c r="H131" s="2">
        <v>1763</v>
      </c>
      <c r="I131" s="2">
        <v>84</v>
      </c>
      <c r="J131" s="2">
        <v>277</v>
      </c>
      <c r="K131" s="2">
        <v>101</v>
      </c>
      <c r="L131" s="2">
        <v>126</v>
      </c>
      <c r="M131" s="2">
        <v>66</v>
      </c>
      <c r="N131" s="2">
        <v>53</v>
      </c>
      <c r="O131" s="2">
        <v>47</v>
      </c>
      <c r="P131" s="2">
        <v>17</v>
      </c>
    </row>
    <row r="132" spans="2:16" ht="10.5" customHeight="1">
      <c r="B132" s="5" t="s">
        <v>50</v>
      </c>
      <c r="C132" s="2">
        <v>6955</v>
      </c>
      <c r="D132" s="2">
        <v>465</v>
      </c>
      <c r="E132" s="2">
        <v>1665</v>
      </c>
      <c r="F132" s="2">
        <v>796</v>
      </c>
      <c r="G132" s="2">
        <v>2418</v>
      </c>
      <c r="H132" s="2">
        <v>940</v>
      </c>
      <c r="I132" s="2">
        <v>78</v>
      </c>
      <c r="J132" s="2">
        <v>265</v>
      </c>
      <c r="K132" s="2">
        <v>66</v>
      </c>
      <c r="L132" s="2">
        <v>54</v>
      </c>
      <c r="M132" s="2">
        <v>38</v>
      </c>
      <c r="N132" s="2">
        <v>29</v>
      </c>
      <c r="O132" s="2">
        <v>26</v>
      </c>
      <c r="P132" s="2">
        <v>26</v>
      </c>
    </row>
    <row r="133" spans="2:16" ht="10.5" customHeight="1">
      <c r="B133" s="5" t="s">
        <v>59</v>
      </c>
      <c r="C133" s="2">
        <v>8618</v>
      </c>
      <c r="D133" s="2">
        <v>792</v>
      </c>
      <c r="E133" s="2">
        <v>3112</v>
      </c>
      <c r="F133" s="2">
        <v>2023</v>
      </c>
      <c r="G133" s="2">
        <v>6490</v>
      </c>
      <c r="H133" s="2">
        <v>1969</v>
      </c>
      <c r="I133" s="2">
        <v>95</v>
      </c>
      <c r="J133" s="2">
        <v>228</v>
      </c>
      <c r="K133" s="2">
        <v>85</v>
      </c>
      <c r="L133" s="2">
        <v>79</v>
      </c>
      <c r="M133" s="2">
        <v>59</v>
      </c>
      <c r="N133" s="2">
        <v>50</v>
      </c>
      <c r="O133" s="2">
        <v>71</v>
      </c>
      <c r="P133" s="2">
        <v>16</v>
      </c>
    </row>
    <row r="134" spans="1:16" ht="10.5" customHeight="1">
      <c r="A134" s="3" t="s">
        <v>76</v>
      </c>
      <c r="C134" s="2">
        <v>22313</v>
      </c>
      <c r="D134" s="2">
        <v>2000</v>
      </c>
      <c r="E134" s="2">
        <v>7284</v>
      </c>
      <c r="F134" s="2">
        <v>4861</v>
      </c>
      <c r="G134" s="2">
        <v>17333</v>
      </c>
      <c r="H134" s="2">
        <v>4749</v>
      </c>
      <c r="I134" s="2">
        <v>263</v>
      </c>
      <c r="J134" s="2">
        <v>779</v>
      </c>
      <c r="K134" s="2">
        <v>254</v>
      </c>
      <c r="L134" s="2">
        <v>261</v>
      </c>
      <c r="M134" s="2">
        <v>165</v>
      </c>
      <c r="N134" s="2">
        <v>132</v>
      </c>
      <c r="O134" s="2">
        <v>145</v>
      </c>
      <c r="P134" s="2">
        <v>59</v>
      </c>
    </row>
    <row r="135" spans="2:16" s="4" customFormat="1" ht="10.5" customHeight="1">
      <c r="B135" s="6" t="s">
        <v>132</v>
      </c>
      <c r="C135" s="4">
        <f>C134/31597</f>
        <v>0.7061746368326107</v>
      </c>
      <c r="D135" s="4">
        <f>D134/31597</f>
        <v>0.06329714846346172</v>
      </c>
      <c r="E135" s="4">
        <f>E134/31597</f>
        <v>0.2305282147039276</v>
      </c>
      <c r="F135" s="4">
        <f>F134/27985</f>
        <v>0.17370019653385743</v>
      </c>
      <c r="G135" s="4">
        <f>G134/27985</f>
        <v>0.6193675183133822</v>
      </c>
      <c r="H135" s="4">
        <f>H134/27985</f>
        <v>0.16969805252814008</v>
      </c>
      <c r="I135" s="4">
        <f>I134/27985</f>
        <v>0.009397891727711273</v>
      </c>
      <c r="J135" s="4">
        <f>J134/27985</f>
        <v>0.02783634089690906</v>
      </c>
      <c r="K135" s="4">
        <f>K134/680</f>
        <v>0.3735294117647059</v>
      </c>
      <c r="L135" s="4">
        <f>L134/680</f>
        <v>0.38382352941176473</v>
      </c>
      <c r="M135" s="4">
        <f>M134/680</f>
        <v>0.2426470588235294</v>
      </c>
      <c r="N135" s="4">
        <f>N134/132</f>
        <v>1</v>
      </c>
      <c r="O135" s="4">
        <f>O134/145</f>
        <v>1</v>
      </c>
      <c r="P135" s="4">
        <f>P134/59</f>
        <v>1</v>
      </c>
    </row>
    <row r="136" spans="2:16" ht="10.5" customHeight="1"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0.5" customHeight="1">
      <c r="A137" s="3" t="s">
        <v>104</v>
      </c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0.5" customHeight="1">
      <c r="B138" s="5" t="s">
        <v>56</v>
      </c>
      <c r="C138" s="2">
        <v>11285</v>
      </c>
      <c r="D138" s="2">
        <v>779</v>
      </c>
      <c r="E138" s="2">
        <v>3004</v>
      </c>
      <c r="F138" s="2">
        <v>2947</v>
      </c>
      <c r="G138" s="2">
        <v>15961</v>
      </c>
      <c r="H138" s="2">
        <v>4480</v>
      </c>
      <c r="I138" s="2">
        <v>400</v>
      </c>
      <c r="J138" s="2">
        <v>318</v>
      </c>
      <c r="K138" s="2">
        <v>92</v>
      </c>
      <c r="L138" s="2">
        <v>87</v>
      </c>
      <c r="M138" s="2">
        <v>82</v>
      </c>
      <c r="N138" s="2">
        <v>76</v>
      </c>
      <c r="O138" s="2">
        <v>99</v>
      </c>
      <c r="P138" s="2">
        <v>21</v>
      </c>
    </row>
    <row r="139" spans="2:16" ht="10.5" customHeight="1">
      <c r="B139" s="5" t="s">
        <v>57</v>
      </c>
      <c r="C139" s="2">
        <v>4749</v>
      </c>
      <c r="D139" s="2">
        <v>491</v>
      </c>
      <c r="E139" s="2">
        <v>1996</v>
      </c>
      <c r="F139" s="2">
        <v>2287</v>
      </c>
      <c r="G139" s="2">
        <v>8311</v>
      </c>
      <c r="H139" s="2">
        <v>2433</v>
      </c>
      <c r="I139" s="2">
        <v>128</v>
      </c>
      <c r="J139" s="2">
        <v>203</v>
      </c>
      <c r="K139" s="2">
        <v>99</v>
      </c>
      <c r="L139" s="2">
        <v>116</v>
      </c>
      <c r="M139" s="2">
        <v>70</v>
      </c>
      <c r="N139" s="2">
        <v>54</v>
      </c>
      <c r="O139" s="2">
        <v>59</v>
      </c>
      <c r="P139" s="2">
        <v>16</v>
      </c>
    </row>
    <row r="140" spans="2:16" ht="10.5" customHeight="1">
      <c r="B140" s="5" t="s">
        <v>60</v>
      </c>
      <c r="C140" s="2">
        <v>1470</v>
      </c>
      <c r="D140" s="2">
        <v>101</v>
      </c>
      <c r="E140" s="2">
        <v>409</v>
      </c>
      <c r="F140" s="2">
        <v>557</v>
      </c>
      <c r="G140" s="2">
        <v>2202</v>
      </c>
      <c r="H140" s="2">
        <v>549</v>
      </c>
      <c r="I140" s="2">
        <v>36</v>
      </c>
      <c r="J140" s="2">
        <v>46</v>
      </c>
      <c r="K140" s="2">
        <v>29</v>
      </c>
      <c r="L140" s="2">
        <v>44</v>
      </c>
      <c r="M140" s="2">
        <v>19</v>
      </c>
      <c r="N140" s="2">
        <v>37</v>
      </c>
      <c r="O140" s="2">
        <v>32</v>
      </c>
      <c r="P140" s="2">
        <v>0</v>
      </c>
    </row>
    <row r="141" spans="2:16" ht="10.5" customHeight="1">
      <c r="B141" s="5" t="s">
        <v>59</v>
      </c>
      <c r="C141" s="2">
        <v>9673</v>
      </c>
      <c r="D141" s="2">
        <v>875</v>
      </c>
      <c r="E141" s="2">
        <v>3839</v>
      </c>
      <c r="F141" s="2">
        <v>3926</v>
      </c>
      <c r="G141" s="2">
        <v>14722</v>
      </c>
      <c r="H141" s="2">
        <v>4050</v>
      </c>
      <c r="I141" s="2">
        <v>160</v>
      </c>
      <c r="J141" s="2">
        <v>404</v>
      </c>
      <c r="K141" s="2">
        <v>103</v>
      </c>
      <c r="L141" s="2">
        <v>132</v>
      </c>
      <c r="M141" s="2">
        <v>85</v>
      </c>
      <c r="N141" s="2">
        <v>47</v>
      </c>
      <c r="O141" s="2">
        <v>98</v>
      </c>
      <c r="P141" s="2">
        <v>17</v>
      </c>
    </row>
    <row r="142" spans="2:16" ht="10.5" customHeight="1">
      <c r="B142" s="5" t="s">
        <v>61</v>
      </c>
      <c r="C142" s="2">
        <v>3788</v>
      </c>
      <c r="D142" s="2">
        <v>297</v>
      </c>
      <c r="E142" s="2">
        <v>1311</v>
      </c>
      <c r="F142" s="2">
        <v>1334</v>
      </c>
      <c r="G142" s="2">
        <v>5394</v>
      </c>
      <c r="H142" s="2">
        <v>1385</v>
      </c>
      <c r="I142" s="2">
        <v>72</v>
      </c>
      <c r="J142" s="2">
        <v>121</v>
      </c>
      <c r="K142" s="2">
        <v>76</v>
      </c>
      <c r="L142" s="2">
        <v>82</v>
      </c>
      <c r="M142" s="2">
        <v>43</v>
      </c>
      <c r="N142" s="2">
        <v>55</v>
      </c>
      <c r="O142" s="2">
        <v>84</v>
      </c>
      <c r="P142" s="2">
        <v>10</v>
      </c>
    </row>
    <row r="143" spans="1:16" ht="10.5" customHeight="1">
      <c r="A143" s="3" t="s">
        <v>76</v>
      </c>
      <c r="C143" s="2">
        <v>30965</v>
      </c>
      <c r="D143" s="2">
        <v>2543</v>
      </c>
      <c r="E143" s="2">
        <v>10559</v>
      </c>
      <c r="F143" s="2">
        <v>11051</v>
      </c>
      <c r="G143" s="2">
        <v>46590</v>
      </c>
      <c r="H143" s="2">
        <v>12897</v>
      </c>
      <c r="I143" s="2">
        <v>796</v>
      </c>
      <c r="J143" s="2">
        <v>1092</v>
      </c>
      <c r="K143" s="2">
        <v>399</v>
      </c>
      <c r="L143" s="2">
        <v>461</v>
      </c>
      <c r="M143" s="2">
        <v>299</v>
      </c>
      <c r="N143" s="2">
        <v>269</v>
      </c>
      <c r="O143" s="2">
        <v>372</v>
      </c>
      <c r="P143" s="2">
        <v>64</v>
      </c>
    </row>
    <row r="144" spans="2:16" s="4" customFormat="1" ht="10.5" customHeight="1">
      <c r="B144" s="6" t="s">
        <v>132</v>
      </c>
      <c r="C144" s="4">
        <f>C143/44067</f>
        <v>0.7026800099847959</v>
      </c>
      <c r="D144" s="4">
        <f>D143/44067</f>
        <v>0.05770758163705267</v>
      </c>
      <c r="E144" s="4">
        <f>E143/44067</f>
        <v>0.23961240837815145</v>
      </c>
      <c r="F144" s="4">
        <f>F143/72426</f>
        <v>0.15258332642973518</v>
      </c>
      <c r="G144" s="4">
        <f>G143/72426</f>
        <v>0.6432772761163118</v>
      </c>
      <c r="H144" s="4">
        <f>H143/72426</f>
        <v>0.17807141081931904</v>
      </c>
      <c r="I144" s="4">
        <f>I143/72426</f>
        <v>0.010990528263330848</v>
      </c>
      <c r="J144" s="4">
        <f>J143/72426</f>
        <v>0.015077458371303124</v>
      </c>
      <c r="K144" s="4">
        <f>K143/1159</f>
        <v>0.3442622950819672</v>
      </c>
      <c r="L144" s="4">
        <f>L143/1159</f>
        <v>0.39775668679896464</v>
      </c>
      <c r="M144" s="4">
        <f>M143/1159</f>
        <v>0.25798101811906815</v>
      </c>
      <c r="N144" s="4">
        <f>N143/269</f>
        <v>1</v>
      </c>
      <c r="O144" s="4">
        <f>O143/372</f>
        <v>1</v>
      </c>
      <c r="P144" s="4">
        <f>P143/64</f>
        <v>1</v>
      </c>
    </row>
    <row r="145" spans="2:16" ht="10.5" customHeight="1"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0.5" customHeight="1">
      <c r="A146" s="3" t="s">
        <v>105</v>
      </c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0.5" customHeight="1">
      <c r="B147" s="5" t="s">
        <v>56</v>
      </c>
      <c r="C147" s="2">
        <v>8750</v>
      </c>
      <c r="D147" s="2">
        <v>606</v>
      </c>
      <c r="E147" s="2">
        <v>2444</v>
      </c>
      <c r="F147" s="2">
        <v>956</v>
      </c>
      <c r="G147" s="2">
        <v>4108</v>
      </c>
      <c r="H147" s="2">
        <v>1309</v>
      </c>
      <c r="I147" s="2">
        <v>148</v>
      </c>
      <c r="J147" s="2">
        <v>257</v>
      </c>
      <c r="K147" s="2">
        <v>48</v>
      </c>
      <c r="L147" s="2">
        <v>57</v>
      </c>
      <c r="M147" s="2">
        <v>45</v>
      </c>
      <c r="N147" s="2">
        <v>50</v>
      </c>
      <c r="O147" s="2">
        <v>39</v>
      </c>
      <c r="P147" s="2">
        <v>24</v>
      </c>
    </row>
    <row r="148" spans="2:16" ht="10.5" customHeight="1">
      <c r="B148" s="5" t="s">
        <v>62</v>
      </c>
      <c r="C148" s="2">
        <v>4937</v>
      </c>
      <c r="D148" s="2">
        <v>383</v>
      </c>
      <c r="E148" s="2">
        <v>1635</v>
      </c>
      <c r="F148" s="2">
        <v>872</v>
      </c>
      <c r="G148" s="2">
        <v>1976</v>
      </c>
      <c r="H148" s="2">
        <v>754</v>
      </c>
      <c r="I148" s="2">
        <v>51</v>
      </c>
      <c r="J148" s="2">
        <v>225</v>
      </c>
      <c r="K148" s="2">
        <v>26</v>
      </c>
      <c r="L148" s="2">
        <v>40</v>
      </c>
      <c r="M148" s="2">
        <v>30</v>
      </c>
      <c r="N148" s="2">
        <v>6</v>
      </c>
      <c r="O148" s="2">
        <v>23</v>
      </c>
      <c r="P148" s="2">
        <v>10</v>
      </c>
    </row>
    <row r="149" spans="2:16" ht="10.5" customHeight="1">
      <c r="B149" s="5" t="s">
        <v>63</v>
      </c>
      <c r="C149" s="2">
        <v>3529</v>
      </c>
      <c r="D149" s="2">
        <v>539</v>
      </c>
      <c r="E149" s="2">
        <v>1495</v>
      </c>
      <c r="F149" s="2">
        <v>1792</v>
      </c>
      <c r="G149" s="2">
        <v>5603</v>
      </c>
      <c r="H149" s="2">
        <v>1635</v>
      </c>
      <c r="I149" s="2">
        <v>126</v>
      </c>
      <c r="J149" s="2">
        <v>210</v>
      </c>
      <c r="K149" s="2">
        <v>83</v>
      </c>
      <c r="L149" s="2">
        <v>74</v>
      </c>
      <c r="M149" s="2">
        <v>30</v>
      </c>
      <c r="N149" s="2">
        <v>16</v>
      </c>
      <c r="O149" s="2">
        <v>38</v>
      </c>
      <c r="P149" s="2">
        <v>6</v>
      </c>
    </row>
    <row r="150" spans="1:16" ht="10.5" customHeight="1">
      <c r="A150" s="3" t="s">
        <v>76</v>
      </c>
      <c r="C150" s="2">
        <v>17216</v>
      </c>
      <c r="D150" s="2">
        <v>1528</v>
      </c>
      <c r="E150" s="2">
        <v>5574</v>
      </c>
      <c r="F150" s="2">
        <v>3620</v>
      </c>
      <c r="G150" s="2">
        <v>11687</v>
      </c>
      <c r="H150" s="2">
        <v>3698</v>
      </c>
      <c r="I150" s="2">
        <v>325</v>
      </c>
      <c r="J150" s="2">
        <v>692</v>
      </c>
      <c r="K150" s="2">
        <v>157</v>
      </c>
      <c r="L150" s="2">
        <v>171</v>
      </c>
      <c r="M150" s="2">
        <v>105</v>
      </c>
      <c r="N150" s="2">
        <v>72</v>
      </c>
      <c r="O150" s="2">
        <v>100</v>
      </c>
      <c r="P150" s="2">
        <v>40</v>
      </c>
    </row>
    <row r="151" spans="2:16" s="4" customFormat="1" ht="10.5" customHeight="1">
      <c r="B151" s="6" t="s">
        <v>132</v>
      </c>
      <c r="C151" s="4">
        <f>C150/24318</f>
        <v>0.7079529566576199</v>
      </c>
      <c r="D151" s="4">
        <f>D150/24318</f>
        <v>0.06283411464758615</v>
      </c>
      <c r="E151" s="4">
        <f>E150/24318</f>
        <v>0.22921292869479398</v>
      </c>
      <c r="F151" s="4">
        <f>F150/20022</f>
        <v>0.1808011187693537</v>
      </c>
      <c r="G151" s="4">
        <f>G150/20022</f>
        <v>0.5837079212865848</v>
      </c>
      <c r="H151" s="4">
        <f>H150/20022</f>
        <v>0.1846968334831685</v>
      </c>
      <c r="I151" s="4">
        <f>I150/20022</f>
        <v>0.016232144640895015</v>
      </c>
      <c r="J151" s="4">
        <f>J150/20022</f>
        <v>0.034561981819998006</v>
      </c>
      <c r="K151" s="4">
        <f>K150/433</f>
        <v>0.3625866050808314</v>
      </c>
      <c r="L151" s="4">
        <f>L150/433</f>
        <v>0.394919168591224</v>
      </c>
      <c r="M151" s="4">
        <f>M150/433</f>
        <v>0.24249422632794457</v>
      </c>
      <c r="N151" s="4">
        <f>N150/72</f>
        <v>1</v>
      </c>
      <c r="O151" s="4">
        <f>O150/100</f>
        <v>1</v>
      </c>
      <c r="P151" s="4">
        <f>P150/40</f>
        <v>1</v>
      </c>
    </row>
    <row r="152" spans="2:16" ht="10.5" customHeight="1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0.5" customHeight="1">
      <c r="A153" s="3" t="s">
        <v>106</v>
      </c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0.5" customHeight="1">
      <c r="B154" s="5" t="s">
        <v>56</v>
      </c>
      <c r="C154" s="2">
        <v>10866</v>
      </c>
      <c r="D154" s="2">
        <v>1064</v>
      </c>
      <c r="E154" s="2">
        <v>3765</v>
      </c>
      <c r="F154" s="2">
        <v>4608</v>
      </c>
      <c r="G154" s="2">
        <v>20542</v>
      </c>
      <c r="H154" s="2">
        <v>5347</v>
      </c>
      <c r="I154" s="2">
        <v>354</v>
      </c>
      <c r="J154" s="2">
        <v>404</v>
      </c>
      <c r="K154" s="2">
        <v>125</v>
      </c>
      <c r="L154" s="2">
        <v>154</v>
      </c>
      <c r="M154" s="2">
        <v>87</v>
      </c>
      <c r="N154" s="2">
        <v>76</v>
      </c>
      <c r="O154" s="2">
        <v>114</v>
      </c>
      <c r="P154" s="2">
        <v>16</v>
      </c>
    </row>
    <row r="155" spans="2:16" ht="10.5" customHeight="1">
      <c r="B155" s="5" t="s">
        <v>64</v>
      </c>
      <c r="C155" s="2">
        <v>8723</v>
      </c>
      <c r="D155" s="2">
        <v>968</v>
      </c>
      <c r="E155" s="2">
        <v>3478</v>
      </c>
      <c r="F155" s="2">
        <v>4239</v>
      </c>
      <c r="G155" s="2">
        <v>16909</v>
      </c>
      <c r="H155" s="2">
        <v>4714</v>
      </c>
      <c r="I155" s="2">
        <v>271</v>
      </c>
      <c r="J155" s="2">
        <v>449</v>
      </c>
      <c r="K155" s="2">
        <v>149</v>
      </c>
      <c r="L155" s="2">
        <v>188</v>
      </c>
      <c r="M155" s="2">
        <v>87</v>
      </c>
      <c r="N155" s="2">
        <v>69</v>
      </c>
      <c r="O155" s="2">
        <v>102</v>
      </c>
      <c r="P155" s="2">
        <v>22</v>
      </c>
    </row>
    <row r="156" spans="1:16" ht="10.5" customHeight="1">
      <c r="A156" s="3" t="s">
        <v>76</v>
      </c>
      <c r="C156" s="2">
        <v>19589</v>
      </c>
      <c r="D156" s="2">
        <v>2032</v>
      </c>
      <c r="E156" s="2">
        <v>7243</v>
      </c>
      <c r="F156" s="2">
        <v>8847</v>
      </c>
      <c r="G156" s="2">
        <v>37451</v>
      </c>
      <c r="H156" s="2">
        <v>10061</v>
      </c>
      <c r="I156" s="2">
        <v>625</v>
      </c>
      <c r="J156" s="2">
        <v>853</v>
      </c>
      <c r="K156" s="2">
        <v>274</v>
      </c>
      <c r="L156" s="2">
        <v>342</v>
      </c>
      <c r="M156" s="2">
        <v>174</v>
      </c>
      <c r="N156" s="2">
        <v>145</v>
      </c>
      <c r="O156" s="2">
        <v>216</v>
      </c>
      <c r="P156" s="2">
        <v>38</v>
      </c>
    </row>
    <row r="157" spans="2:16" s="4" customFormat="1" ht="10.5" customHeight="1">
      <c r="B157" s="6" t="s">
        <v>132</v>
      </c>
      <c r="C157" s="4">
        <f>C156/28864</f>
        <v>0.6786654656319291</v>
      </c>
      <c r="D157" s="4">
        <f>D156/28864</f>
        <v>0.07039911308203992</v>
      </c>
      <c r="E157" s="4">
        <f>E156/28864</f>
        <v>0.250935421286031</v>
      </c>
      <c r="F157" s="4">
        <f>F156/57837</f>
        <v>0.1529643653716479</v>
      </c>
      <c r="G157" s="4">
        <f>G156/57837</f>
        <v>0.6475266697788613</v>
      </c>
      <c r="H157" s="4">
        <f>H156/57837</f>
        <v>0.17395438905890692</v>
      </c>
      <c r="I157" s="4">
        <f>I156/57837</f>
        <v>0.010806231305219842</v>
      </c>
      <c r="J157" s="4">
        <f>J156/57837</f>
        <v>0.01474834448536404</v>
      </c>
      <c r="K157" s="4">
        <f>K156/790</f>
        <v>0.3468354430379747</v>
      </c>
      <c r="L157" s="4">
        <f>L156/790</f>
        <v>0.43291139240506327</v>
      </c>
      <c r="M157" s="4">
        <f>M156/790</f>
        <v>0.22025316455696203</v>
      </c>
      <c r="N157" s="4">
        <f>N156/145</f>
        <v>1</v>
      </c>
      <c r="O157" s="4">
        <f>O156/216</f>
        <v>1</v>
      </c>
      <c r="P157" s="4">
        <f>P156/38</f>
        <v>1</v>
      </c>
    </row>
    <row r="158" spans="2:16" ht="10.5" customHeight="1"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0.5" customHeight="1">
      <c r="A159" s="3" t="s">
        <v>107</v>
      </c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0.5" customHeight="1">
      <c r="B160" s="5" t="s">
        <v>62</v>
      </c>
      <c r="C160" s="2">
        <v>14638</v>
      </c>
      <c r="D160" s="2">
        <v>1758</v>
      </c>
      <c r="E160" s="2">
        <v>5790</v>
      </c>
      <c r="F160" s="2">
        <v>13174</v>
      </c>
      <c r="G160" s="2">
        <v>31088</v>
      </c>
      <c r="H160" s="2">
        <v>9711</v>
      </c>
      <c r="I160" s="2">
        <v>354</v>
      </c>
      <c r="J160" s="2">
        <v>1014</v>
      </c>
      <c r="K160" s="2">
        <v>321</v>
      </c>
      <c r="L160" s="2">
        <v>328</v>
      </c>
      <c r="M160" s="2">
        <v>182</v>
      </c>
      <c r="N160" s="2">
        <v>87</v>
      </c>
      <c r="O160" s="2">
        <v>286</v>
      </c>
      <c r="P160" s="2">
        <v>31</v>
      </c>
    </row>
    <row r="161" spans="2:16" ht="10.5" customHeight="1">
      <c r="B161" s="5" t="s">
        <v>65</v>
      </c>
      <c r="C161" s="2">
        <v>1830</v>
      </c>
      <c r="D161" s="2">
        <v>297</v>
      </c>
      <c r="E161" s="2">
        <v>532</v>
      </c>
      <c r="F161" s="2">
        <v>1072</v>
      </c>
      <c r="G161" s="2">
        <v>4047</v>
      </c>
      <c r="H161" s="2">
        <v>678</v>
      </c>
      <c r="I161" s="2">
        <v>46</v>
      </c>
      <c r="J161" s="2">
        <v>89</v>
      </c>
      <c r="K161" s="2">
        <v>37</v>
      </c>
      <c r="L161" s="2">
        <v>38</v>
      </c>
      <c r="M161" s="2">
        <v>31</v>
      </c>
      <c r="N161" s="2">
        <v>13</v>
      </c>
      <c r="O161" s="2">
        <v>23</v>
      </c>
      <c r="P161" s="2">
        <v>3</v>
      </c>
    </row>
    <row r="162" spans="2:16" ht="10.5" customHeight="1">
      <c r="B162" s="5" t="s">
        <v>66</v>
      </c>
      <c r="C162" s="2">
        <v>8024</v>
      </c>
      <c r="D162" s="2">
        <v>444</v>
      </c>
      <c r="E162" s="2">
        <v>1829</v>
      </c>
      <c r="F162" s="2">
        <v>3494</v>
      </c>
      <c r="G162" s="2">
        <v>12332</v>
      </c>
      <c r="H162" s="2">
        <v>4157</v>
      </c>
      <c r="I162" s="2">
        <v>210</v>
      </c>
      <c r="J162" s="2">
        <v>374</v>
      </c>
      <c r="K162" s="2">
        <v>65</v>
      </c>
      <c r="L162" s="2">
        <v>73</v>
      </c>
      <c r="M162" s="2">
        <v>44</v>
      </c>
      <c r="N162" s="2">
        <v>112</v>
      </c>
      <c r="O162" s="2">
        <v>125</v>
      </c>
      <c r="P162" s="2">
        <v>17</v>
      </c>
    </row>
    <row r="163" spans="1:16" ht="10.5" customHeight="1">
      <c r="A163" s="3" t="s">
        <v>76</v>
      </c>
      <c r="C163" s="2">
        <v>24492</v>
      </c>
      <c r="D163" s="2">
        <v>2499</v>
      </c>
      <c r="E163" s="2">
        <v>8151</v>
      </c>
      <c r="F163" s="2">
        <v>17740</v>
      </c>
      <c r="G163" s="2">
        <v>47467</v>
      </c>
      <c r="H163" s="2">
        <v>14546</v>
      </c>
      <c r="I163" s="2">
        <v>610</v>
      </c>
      <c r="J163" s="2">
        <v>1477</v>
      </c>
      <c r="K163" s="2">
        <v>423</v>
      </c>
      <c r="L163" s="2">
        <v>439</v>
      </c>
      <c r="M163" s="2">
        <v>257</v>
      </c>
      <c r="N163" s="2">
        <v>212</v>
      </c>
      <c r="O163" s="2">
        <v>434</v>
      </c>
      <c r="P163" s="2">
        <v>51</v>
      </c>
    </row>
    <row r="164" spans="2:16" s="4" customFormat="1" ht="10.5" customHeight="1">
      <c r="B164" s="6" t="s">
        <v>132</v>
      </c>
      <c r="C164" s="4">
        <f>C163/35142</f>
        <v>0.6969438278982414</v>
      </c>
      <c r="D164" s="4">
        <f>D163/35142</f>
        <v>0.07111149052415913</v>
      </c>
      <c r="E164" s="4">
        <f>E163/35142</f>
        <v>0.23194468157759945</v>
      </c>
      <c r="F164" s="4">
        <f>F163/81840</f>
        <v>0.2167644183773216</v>
      </c>
      <c r="G164" s="4">
        <f>G163/81840</f>
        <v>0.5799975562072336</v>
      </c>
      <c r="H164" s="4">
        <f>H163/81840</f>
        <v>0.17773704789833822</v>
      </c>
      <c r="I164" s="4">
        <f>I163/81840</f>
        <v>0.0074535679374389055</v>
      </c>
      <c r="J164" s="4">
        <f>J163/81840</f>
        <v>0.018047409579667644</v>
      </c>
      <c r="K164" s="4">
        <f>K163/1119</f>
        <v>0.3780160857908847</v>
      </c>
      <c r="L164" s="4">
        <f>L163/1119</f>
        <v>0.3923145665773012</v>
      </c>
      <c r="M164" s="4">
        <f>M163/1119</f>
        <v>0.22966934763181412</v>
      </c>
      <c r="N164" s="4">
        <f>N163/212</f>
        <v>1</v>
      </c>
      <c r="O164" s="4">
        <f>O163/434</f>
        <v>1</v>
      </c>
      <c r="P164" s="4">
        <f>P163/51</f>
        <v>1</v>
      </c>
    </row>
    <row r="165" spans="2:16" ht="10.5" customHeight="1"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0.5" customHeight="1">
      <c r="A166" s="3" t="s">
        <v>108</v>
      </c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0.5" customHeight="1">
      <c r="B167" s="5" t="s">
        <v>66</v>
      </c>
      <c r="C167" s="2">
        <v>12869</v>
      </c>
      <c r="D167" s="2">
        <v>510</v>
      </c>
      <c r="E167" s="2">
        <v>1655</v>
      </c>
      <c r="F167" s="2">
        <v>2422</v>
      </c>
      <c r="G167" s="2">
        <v>8495</v>
      </c>
      <c r="H167" s="2">
        <v>3402</v>
      </c>
      <c r="I167" s="2">
        <v>181</v>
      </c>
      <c r="J167" s="2">
        <v>320</v>
      </c>
      <c r="K167" s="2">
        <v>75</v>
      </c>
      <c r="L167" s="2">
        <v>69</v>
      </c>
      <c r="M167" s="2">
        <v>50</v>
      </c>
      <c r="N167" s="2">
        <v>200</v>
      </c>
      <c r="O167" s="2">
        <v>171</v>
      </c>
      <c r="P167" s="2">
        <v>20</v>
      </c>
    </row>
    <row r="168" spans="2:16" ht="10.5" customHeight="1">
      <c r="B168" s="5" t="s">
        <v>67</v>
      </c>
      <c r="C168" s="2">
        <v>24064</v>
      </c>
      <c r="D168" s="2">
        <v>933</v>
      </c>
      <c r="E168" s="2">
        <v>3174</v>
      </c>
      <c r="F168" s="2">
        <v>3455</v>
      </c>
      <c r="G168" s="2">
        <v>12158</v>
      </c>
      <c r="H168" s="2">
        <v>5364</v>
      </c>
      <c r="I168" s="2">
        <v>227</v>
      </c>
      <c r="J168" s="2">
        <v>423</v>
      </c>
      <c r="K168" s="2">
        <v>87</v>
      </c>
      <c r="L168" s="2">
        <v>104</v>
      </c>
      <c r="M168" s="2">
        <v>89</v>
      </c>
      <c r="N168" s="2">
        <v>247</v>
      </c>
      <c r="O168" s="2">
        <v>191</v>
      </c>
      <c r="P168" s="2">
        <v>36</v>
      </c>
    </row>
    <row r="169" spans="2:16" ht="10.5" customHeight="1">
      <c r="B169" s="5" t="s">
        <v>68</v>
      </c>
      <c r="C169" s="2">
        <v>10234</v>
      </c>
      <c r="D169" s="2">
        <v>600</v>
      </c>
      <c r="E169" s="2">
        <v>2059</v>
      </c>
      <c r="F169" s="2">
        <v>1743</v>
      </c>
      <c r="G169" s="2">
        <v>5198</v>
      </c>
      <c r="H169" s="2">
        <v>1716</v>
      </c>
      <c r="I169" s="2">
        <v>66</v>
      </c>
      <c r="J169" s="2">
        <v>273</v>
      </c>
      <c r="K169" s="2">
        <v>65</v>
      </c>
      <c r="L169" s="2">
        <v>76</v>
      </c>
      <c r="M169" s="2">
        <v>55</v>
      </c>
      <c r="N169" s="2">
        <v>81</v>
      </c>
      <c r="O169" s="2">
        <v>83</v>
      </c>
      <c r="P169" s="2">
        <v>23</v>
      </c>
    </row>
    <row r="170" spans="1:16" ht="10.5" customHeight="1">
      <c r="A170" s="3" t="s">
        <v>76</v>
      </c>
      <c r="C170" s="2">
        <v>47167</v>
      </c>
      <c r="D170" s="2">
        <v>2043</v>
      </c>
      <c r="E170" s="2">
        <v>6888</v>
      </c>
      <c r="F170" s="2">
        <v>7620</v>
      </c>
      <c r="G170" s="2">
        <v>25851</v>
      </c>
      <c r="H170" s="2">
        <v>10482</v>
      </c>
      <c r="I170" s="2">
        <v>474</v>
      </c>
      <c r="J170" s="2">
        <v>1016</v>
      </c>
      <c r="K170" s="2">
        <v>227</v>
      </c>
      <c r="L170" s="2">
        <v>249</v>
      </c>
      <c r="M170" s="2">
        <v>194</v>
      </c>
      <c r="N170" s="2">
        <v>528</v>
      </c>
      <c r="O170" s="2">
        <v>445</v>
      </c>
      <c r="P170" s="2">
        <v>79</v>
      </c>
    </row>
    <row r="171" spans="2:16" s="4" customFormat="1" ht="10.5" customHeight="1">
      <c r="B171" s="6" t="s">
        <v>132</v>
      </c>
      <c r="C171" s="4">
        <f>C170/56098</f>
        <v>0.8407964633320261</v>
      </c>
      <c r="D171" s="4">
        <f>D170/56098</f>
        <v>0.03641841063852544</v>
      </c>
      <c r="E171" s="4">
        <f>E170/56098</f>
        <v>0.12278512602944847</v>
      </c>
      <c r="F171" s="4">
        <f>F170/45443</f>
        <v>0.16768259137821007</v>
      </c>
      <c r="G171" s="4">
        <f>G170/45443</f>
        <v>0.5688664920889906</v>
      </c>
      <c r="H171" s="4">
        <f>H170/45443</f>
        <v>0.23066258829742756</v>
      </c>
      <c r="I171" s="4">
        <f>I170/45443</f>
        <v>0.010430649384943775</v>
      </c>
      <c r="J171" s="4">
        <f>J170/45443</f>
        <v>0.022357678850428008</v>
      </c>
      <c r="K171" s="4">
        <f>K170/670</f>
        <v>0.33880597014925373</v>
      </c>
      <c r="L171" s="4">
        <f>L170/670</f>
        <v>0.3716417910447761</v>
      </c>
      <c r="M171" s="4">
        <f>M170/670</f>
        <v>0.28955223880597014</v>
      </c>
      <c r="N171" s="4">
        <f>N170/528</f>
        <v>1</v>
      </c>
      <c r="O171" s="4">
        <f>O170/445</f>
        <v>1</v>
      </c>
      <c r="P171" s="4">
        <f>P170/79</f>
        <v>1</v>
      </c>
    </row>
    <row r="172" spans="2:16" ht="10.5" customHeight="1"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0.5" customHeight="1">
      <c r="A173" s="3" t="s">
        <v>109</v>
      </c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0.5" customHeight="1">
      <c r="B174" s="5" t="s">
        <v>67</v>
      </c>
      <c r="C174" s="2">
        <v>5037</v>
      </c>
      <c r="D174" s="2">
        <v>462</v>
      </c>
      <c r="E174" s="2">
        <v>1566</v>
      </c>
      <c r="F174" s="2">
        <v>3066</v>
      </c>
      <c r="G174" s="2">
        <v>7863</v>
      </c>
      <c r="H174" s="2">
        <v>2906</v>
      </c>
      <c r="I174" s="2">
        <v>182</v>
      </c>
      <c r="J174" s="2">
        <v>232</v>
      </c>
      <c r="K174" s="2">
        <v>72</v>
      </c>
      <c r="L174" s="2">
        <v>79</v>
      </c>
      <c r="M174" s="2">
        <v>42</v>
      </c>
      <c r="N174" s="2">
        <v>43</v>
      </c>
      <c r="O174" s="2">
        <v>77</v>
      </c>
      <c r="P174" s="2">
        <v>11</v>
      </c>
    </row>
    <row r="175" spans="2:16" ht="10.5" customHeight="1">
      <c r="B175" s="5" t="s">
        <v>68</v>
      </c>
      <c r="C175" s="2">
        <v>32895</v>
      </c>
      <c r="D175" s="2">
        <v>2431</v>
      </c>
      <c r="E175" s="2">
        <v>6378</v>
      </c>
      <c r="F175" s="2">
        <v>13001</v>
      </c>
      <c r="G175" s="2">
        <v>38115</v>
      </c>
      <c r="H175" s="2">
        <v>11931</v>
      </c>
      <c r="I175" s="2">
        <v>278</v>
      </c>
      <c r="J175" s="2">
        <v>851</v>
      </c>
      <c r="K175" s="2">
        <v>234</v>
      </c>
      <c r="L175" s="2">
        <v>342</v>
      </c>
      <c r="M175" s="2">
        <v>191</v>
      </c>
      <c r="N175" s="2">
        <v>313</v>
      </c>
      <c r="O175" s="2">
        <v>428</v>
      </c>
      <c r="P175" s="2">
        <v>43</v>
      </c>
    </row>
    <row r="176" spans="1:16" ht="10.5" customHeight="1">
      <c r="A176" s="3" t="s">
        <v>76</v>
      </c>
      <c r="C176" s="2">
        <v>37932</v>
      </c>
      <c r="D176" s="2">
        <v>2893</v>
      </c>
      <c r="E176" s="2">
        <v>7944</v>
      </c>
      <c r="F176" s="2">
        <v>16067</v>
      </c>
      <c r="G176" s="2">
        <v>45978</v>
      </c>
      <c r="H176" s="2">
        <v>14837</v>
      </c>
      <c r="I176" s="2">
        <v>460</v>
      </c>
      <c r="J176" s="2">
        <v>1083</v>
      </c>
      <c r="K176" s="2">
        <v>306</v>
      </c>
      <c r="L176" s="2">
        <v>421</v>
      </c>
      <c r="M176" s="2">
        <v>233</v>
      </c>
      <c r="N176" s="2">
        <v>356</v>
      </c>
      <c r="O176" s="2">
        <v>505</v>
      </c>
      <c r="P176" s="2">
        <v>54</v>
      </c>
    </row>
    <row r="177" spans="2:16" s="4" customFormat="1" ht="10.5" customHeight="1">
      <c r="B177" s="6" t="s">
        <v>132</v>
      </c>
      <c r="C177" s="4">
        <f>C176/48769</f>
        <v>0.7777891693493818</v>
      </c>
      <c r="D177" s="4">
        <f>D176/48769</f>
        <v>0.059320469970678094</v>
      </c>
      <c r="E177" s="4">
        <f>E176/48769</f>
        <v>0.16289036067994012</v>
      </c>
      <c r="F177" s="4">
        <f>F176/78425</f>
        <v>0.20487089576028053</v>
      </c>
      <c r="G177" s="4">
        <f>G176/78425</f>
        <v>0.5862671342046542</v>
      </c>
      <c r="H177" s="4">
        <f>H176/78425</f>
        <v>0.1891871214536181</v>
      </c>
      <c r="I177" s="4">
        <f>I176/78425</f>
        <v>0.00586547656997131</v>
      </c>
      <c r="J177" s="4">
        <f>J176/78425</f>
        <v>0.013809372011475932</v>
      </c>
      <c r="K177" s="4">
        <f>K176/960</f>
        <v>0.31875</v>
      </c>
      <c r="L177" s="4">
        <f>L176/960</f>
        <v>0.43854166666666666</v>
      </c>
      <c r="M177" s="4">
        <f>M176/960</f>
        <v>0.24270833333333333</v>
      </c>
      <c r="N177" s="4">
        <f>N176/356</f>
        <v>1</v>
      </c>
      <c r="O177" s="4">
        <f>O176/505</f>
        <v>1</v>
      </c>
      <c r="P177" s="4">
        <f>P176/54</f>
        <v>1</v>
      </c>
    </row>
    <row r="178" spans="2:16" ht="10.5" customHeight="1"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0.5" customHeight="1">
      <c r="A179" s="3" t="s">
        <v>110</v>
      </c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0.5" customHeight="1">
      <c r="B180" s="5" t="s">
        <v>69</v>
      </c>
      <c r="C180" s="2">
        <v>1097</v>
      </c>
      <c r="D180" s="2">
        <v>131</v>
      </c>
      <c r="E180" s="2">
        <v>455</v>
      </c>
      <c r="F180" s="2">
        <v>579</v>
      </c>
      <c r="G180" s="2">
        <v>1476</v>
      </c>
      <c r="H180" s="2">
        <v>506</v>
      </c>
      <c r="I180" s="2">
        <v>24</v>
      </c>
      <c r="J180" s="2">
        <v>35</v>
      </c>
      <c r="K180" s="2">
        <v>21</v>
      </c>
      <c r="L180" s="2">
        <v>38</v>
      </c>
      <c r="M180" s="2">
        <v>17</v>
      </c>
      <c r="N180" s="2">
        <v>24</v>
      </c>
      <c r="O180" s="2">
        <v>30</v>
      </c>
      <c r="P180" s="2">
        <v>3</v>
      </c>
    </row>
    <row r="181" spans="2:16" ht="10.5" customHeight="1">
      <c r="B181" s="5" t="s">
        <v>65</v>
      </c>
      <c r="C181" s="2">
        <v>13879</v>
      </c>
      <c r="D181" s="2">
        <v>1841</v>
      </c>
      <c r="E181" s="2">
        <v>3761</v>
      </c>
      <c r="F181" s="2">
        <v>8418</v>
      </c>
      <c r="G181" s="2">
        <v>24271</v>
      </c>
      <c r="H181" s="2">
        <v>5090</v>
      </c>
      <c r="I181" s="2">
        <v>328</v>
      </c>
      <c r="J181" s="2">
        <v>505</v>
      </c>
      <c r="K181" s="2">
        <v>213</v>
      </c>
      <c r="L181" s="2">
        <v>202</v>
      </c>
      <c r="M181" s="2">
        <v>174</v>
      </c>
      <c r="N181" s="2">
        <v>92</v>
      </c>
      <c r="O181" s="2">
        <v>187</v>
      </c>
      <c r="P181" s="2">
        <v>32</v>
      </c>
    </row>
    <row r="182" spans="2:16" ht="10.5" customHeight="1">
      <c r="B182" s="5" t="s">
        <v>70</v>
      </c>
      <c r="C182" s="2">
        <v>980</v>
      </c>
      <c r="D182" s="2">
        <v>57</v>
      </c>
      <c r="E182" s="2">
        <v>171</v>
      </c>
      <c r="F182" s="2">
        <v>395</v>
      </c>
      <c r="G182" s="2">
        <v>664</v>
      </c>
      <c r="H182" s="2">
        <v>306</v>
      </c>
      <c r="I182" s="2">
        <v>21</v>
      </c>
      <c r="J182" s="2">
        <v>50</v>
      </c>
      <c r="K182" s="2">
        <v>18</v>
      </c>
      <c r="L182" s="2">
        <v>30</v>
      </c>
      <c r="M182" s="2">
        <v>7</v>
      </c>
      <c r="N182" s="2">
        <v>19</v>
      </c>
      <c r="O182" s="2">
        <v>15</v>
      </c>
      <c r="P182" s="2">
        <v>5</v>
      </c>
    </row>
    <row r="183" spans="2:16" ht="10.5" customHeight="1">
      <c r="B183" s="5" t="s">
        <v>71</v>
      </c>
      <c r="C183" s="2">
        <v>4168</v>
      </c>
      <c r="D183" s="2">
        <v>664</v>
      </c>
      <c r="E183" s="2">
        <v>1460</v>
      </c>
      <c r="F183" s="2">
        <v>1820</v>
      </c>
      <c r="G183" s="2">
        <v>5940</v>
      </c>
      <c r="H183" s="2">
        <v>1187</v>
      </c>
      <c r="I183" s="2">
        <v>45</v>
      </c>
      <c r="J183" s="2">
        <v>194</v>
      </c>
      <c r="K183" s="2">
        <v>160</v>
      </c>
      <c r="L183" s="2">
        <v>141</v>
      </c>
      <c r="M183" s="2">
        <v>73</v>
      </c>
      <c r="N183" s="2">
        <v>11</v>
      </c>
      <c r="O183" s="2">
        <v>79</v>
      </c>
      <c r="P183" s="2">
        <v>9</v>
      </c>
    </row>
    <row r="184" spans="1:16" ht="10.5" customHeight="1">
      <c r="A184" s="3" t="s">
        <v>76</v>
      </c>
      <c r="C184" s="2">
        <v>20124</v>
      </c>
      <c r="D184" s="2">
        <v>2693</v>
      </c>
      <c r="E184" s="2">
        <v>5847</v>
      </c>
      <c r="F184" s="2">
        <v>11212</v>
      </c>
      <c r="G184" s="2">
        <v>32351</v>
      </c>
      <c r="H184" s="2">
        <v>7089</v>
      </c>
      <c r="I184" s="2">
        <v>418</v>
      </c>
      <c r="J184" s="2">
        <v>784</v>
      </c>
      <c r="K184" s="2">
        <v>412</v>
      </c>
      <c r="L184" s="2">
        <v>411</v>
      </c>
      <c r="M184" s="2">
        <v>271</v>
      </c>
      <c r="N184" s="2">
        <v>146</v>
      </c>
      <c r="O184" s="2">
        <v>311</v>
      </c>
      <c r="P184" s="2">
        <v>49</v>
      </c>
    </row>
    <row r="185" spans="2:16" s="4" customFormat="1" ht="10.5" customHeight="1">
      <c r="B185" s="6" t="s">
        <v>132</v>
      </c>
      <c r="C185" s="4">
        <f>C184/28664</f>
        <v>0.7020653084007815</v>
      </c>
      <c r="D185" s="4">
        <f>D184/28664</f>
        <v>0.09395060005581915</v>
      </c>
      <c r="E185" s="4">
        <f>E184/28664</f>
        <v>0.2039840915433994</v>
      </c>
      <c r="F185" s="4">
        <f>F184/51854</f>
        <v>0.21622247078335327</v>
      </c>
      <c r="G185" s="4">
        <f>G184/51854</f>
        <v>0.6238862961391599</v>
      </c>
      <c r="H185" s="4">
        <f>H184/51854</f>
        <v>0.13671076483974234</v>
      </c>
      <c r="I185" s="4">
        <f>I184/51854</f>
        <v>0.008061094611794654</v>
      </c>
      <c r="J185" s="4">
        <f>J184/51854</f>
        <v>0.015119373625949782</v>
      </c>
      <c r="K185" s="4">
        <f>K184/1094</f>
        <v>0.376599634369287</v>
      </c>
      <c r="L185" s="4">
        <f>L184/1094</f>
        <v>0.3756855575868373</v>
      </c>
      <c r="M185" s="4">
        <f>M184/1094</f>
        <v>0.2477148080438757</v>
      </c>
      <c r="N185" s="4">
        <f>N184/146</f>
        <v>1</v>
      </c>
      <c r="O185" s="4">
        <f>O184/311</f>
        <v>1</v>
      </c>
      <c r="P185" s="4">
        <f>P184/49</f>
        <v>1</v>
      </c>
    </row>
    <row r="186" spans="2:16" ht="10.5" customHeight="1"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0.5" customHeight="1">
      <c r="A187" s="3" t="s">
        <v>111</v>
      </c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0.5" customHeight="1">
      <c r="B188" s="5" t="s">
        <v>65</v>
      </c>
      <c r="C188" s="2">
        <v>16996</v>
      </c>
      <c r="D188" s="2">
        <v>1499</v>
      </c>
      <c r="E188" s="2">
        <v>3349</v>
      </c>
      <c r="F188" s="2">
        <v>6325</v>
      </c>
      <c r="G188" s="2">
        <v>23114</v>
      </c>
      <c r="H188" s="2">
        <v>6961</v>
      </c>
      <c r="I188" s="2">
        <v>339</v>
      </c>
      <c r="J188" s="2">
        <v>471</v>
      </c>
      <c r="K188" s="2">
        <v>117</v>
      </c>
      <c r="L188" s="2">
        <v>117</v>
      </c>
      <c r="M188" s="2">
        <v>115</v>
      </c>
      <c r="N188" s="2">
        <v>147</v>
      </c>
      <c r="O188" s="2">
        <v>178</v>
      </c>
      <c r="P188" s="2">
        <v>39</v>
      </c>
    </row>
    <row r="189" spans="2:16" ht="10.5" customHeight="1">
      <c r="B189" s="5" t="s">
        <v>71</v>
      </c>
      <c r="C189" s="2">
        <v>8494</v>
      </c>
      <c r="D189" s="2">
        <v>1204</v>
      </c>
      <c r="E189" s="2">
        <v>2386</v>
      </c>
      <c r="F189" s="2">
        <v>4919</v>
      </c>
      <c r="G189" s="2">
        <v>13156</v>
      </c>
      <c r="H189" s="2">
        <v>3726</v>
      </c>
      <c r="I189" s="2">
        <v>126</v>
      </c>
      <c r="J189" s="2">
        <v>354</v>
      </c>
      <c r="K189" s="2">
        <v>158</v>
      </c>
      <c r="L189" s="2">
        <v>148</v>
      </c>
      <c r="M189" s="2">
        <v>70</v>
      </c>
      <c r="N189" s="2">
        <v>56</v>
      </c>
      <c r="O189" s="2">
        <v>116</v>
      </c>
      <c r="P189" s="2">
        <v>27</v>
      </c>
    </row>
    <row r="190" spans="1:16" ht="10.5" customHeight="1">
      <c r="A190" s="3" t="s">
        <v>76</v>
      </c>
      <c r="C190" s="2">
        <v>25490</v>
      </c>
      <c r="D190" s="2">
        <v>2703</v>
      </c>
      <c r="E190" s="2">
        <v>5735</v>
      </c>
      <c r="F190" s="2">
        <v>11244</v>
      </c>
      <c r="G190" s="2">
        <v>36270</v>
      </c>
      <c r="H190" s="2">
        <v>10687</v>
      </c>
      <c r="I190" s="2">
        <v>465</v>
      </c>
      <c r="J190" s="2">
        <v>825</v>
      </c>
      <c r="K190" s="2">
        <v>275</v>
      </c>
      <c r="L190" s="2">
        <v>265</v>
      </c>
      <c r="M190" s="2">
        <v>185</v>
      </c>
      <c r="N190" s="2">
        <v>203</v>
      </c>
      <c r="O190" s="2">
        <v>294</v>
      </c>
      <c r="P190" s="2">
        <v>66</v>
      </c>
    </row>
    <row r="191" spans="2:16" s="4" customFormat="1" ht="10.5" customHeight="1">
      <c r="B191" s="6" t="s">
        <v>132</v>
      </c>
      <c r="C191" s="4">
        <f>C190/33928</f>
        <v>0.7512968639471823</v>
      </c>
      <c r="D191" s="4">
        <f>D190/33928</f>
        <v>0.07966871020985616</v>
      </c>
      <c r="E191" s="4">
        <f>E190/33928</f>
        <v>0.16903442584296158</v>
      </c>
      <c r="F191" s="4">
        <f>F190/59491</f>
        <v>0.18900337866231867</v>
      </c>
      <c r="G191" s="4">
        <f>G190/59491</f>
        <v>0.6096720512346405</v>
      </c>
      <c r="H191" s="4">
        <f>H190/59491</f>
        <v>0.1796406179085912</v>
      </c>
      <c r="I191" s="4">
        <f>I190/59491</f>
        <v>0.007816308349162058</v>
      </c>
      <c r="J191" s="4">
        <f>J190/59491</f>
        <v>0.013867643845287523</v>
      </c>
      <c r="K191" s="4">
        <f>K190/725</f>
        <v>0.3793103448275862</v>
      </c>
      <c r="L191" s="4">
        <f>L190/725</f>
        <v>0.36551724137931035</v>
      </c>
      <c r="M191" s="4">
        <f>M190/725</f>
        <v>0.25517241379310346</v>
      </c>
      <c r="N191" s="4">
        <f>N190/203</f>
        <v>1</v>
      </c>
      <c r="O191" s="4">
        <f>O190/294</f>
        <v>1</v>
      </c>
      <c r="P191" s="4">
        <f>P190/66</f>
        <v>1</v>
      </c>
    </row>
    <row r="192" spans="2:16" ht="10.5" customHeight="1"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0.5" customHeight="1">
      <c r="A193" s="3" t="s">
        <v>112</v>
      </c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0.5" customHeight="1">
      <c r="B194" s="5" t="s">
        <v>65</v>
      </c>
      <c r="C194" s="2">
        <v>27694</v>
      </c>
      <c r="D194" s="2">
        <v>2485</v>
      </c>
      <c r="E194" s="2">
        <v>4798</v>
      </c>
      <c r="F194" s="2">
        <v>5397</v>
      </c>
      <c r="G194" s="2">
        <v>17205</v>
      </c>
      <c r="H194" s="2">
        <v>5039</v>
      </c>
      <c r="I194" s="2">
        <v>498</v>
      </c>
      <c r="J194" s="2">
        <v>564</v>
      </c>
      <c r="K194" s="2">
        <v>169</v>
      </c>
      <c r="L194" s="2">
        <v>200</v>
      </c>
      <c r="M194" s="2">
        <v>178</v>
      </c>
      <c r="N194" s="2">
        <v>206</v>
      </c>
      <c r="O194" s="2">
        <v>269</v>
      </c>
      <c r="P194" s="2">
        <v>52</v>
      </c>
    </row>
    <row r="195" spans="1:16" ht="10.5" customHeight="1">
      <c r="A195" s="3" t="s">
        <v>76</v>
      </c>
      <c r="C195" s="2">
        <v>27694</v>
      </c>
      <c r="D195" s="2">
        <v>2485</v>
      </c>
      <c r="E195" s="2">
        <v>4798</v>
      </c>
      <c r="F195" s="2">
        <v>5397</v>
      </c>
      <c r="G195" s="2">
        <v>17205</v>
      </c>
      <c r="H195" s="2">
        <v>5039</v>
      </c>
      <c r="I195" s="2">
        <v>498</v>
      </c>
      <c r="J195" s="2">
        <v>564</v>
      </c>
      <c r="K195" s="2">
        <v>169</v>
      </c>
      <c r="L195" s="2">
        <v>200</v>
      </c>
      <c r="M195" s="2">
        <v>178</v>
      </c>
      <c r="N195" s="2">
        <v>206</v>
      </c>
      <c r="O195" s="2">
        <v>269</v>
      </c>
      <c r="P195" s="2">
        <v>52</v>
      </c>
    </row>
    <row r="196" spans="2:16" s="4" customFormat="1" ht="10.5" customHeight="1">
      <c r="B196" s="6" t="s">
        <v>132</v>
      </c>
      <c r="C196" s="4">
        <f>C195/34977</f>
        <v>0.7917774537553249</v>
      </c>
      <c r="D196" s="4">
        <f>D195/34977</f>
        <v>0.07104668782342682</v>
      </c>
      <c r="E196" s="4">
        <f>E195/34977</f>
        <v>0.13717585842124824</v>
      </c>
      <c r="F196" s="4">
        <f>F195/28703</f>
        <v>0.18802912587534404</v>
      </c>
      <c r="G196" s="4">
        <f>G195/28703</f>
        <v>0.5994146953280145</v>
      </c>
      <c r="H196" s="4">
        <f>H195/28703</f>
        <v>0.17555656203184336</v>
      </c>
      <c r="I196" s="4">
        <f>I195/28703</f>
        <v>0.017350102776713235</v>
      </c>
      <c r="J196" s="4">
        <f>J195/28703</f>
        <v>0.019649513988084868</v>
      </c>
      <c r="K196" s="4">
        <f>K195/547</f>
        <v>0.30895795246800734</v>
      </c>
      <c r="L196" s="4">
        <f>L195/547</f>
        <v>0.3656307129798903</v>
      </c>
      <c r="M196" s="4">
        <f>M195/547</f>
        <v>0.32541133455210236</v>
      </c>
      <c r="N196" s="4">
        <f>N195/206</f>
        <v>1</v>
      </c>
      <c r="O196" s="4">
        <f>O195/269</f>
        <v>1</v>
      </c>
      <c r="P196" s="4">
        <f>P195/52</f>
        <v>1</v>
      </c>
    </row>
    <row r="197" spans="2:16" ht="10.5" customHeight="1"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0.5" customHeight="1">
      <c r="A198" s="3" t="s">
        <v>113</v>
      </c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0.5" customHeight="1">
      <c r="B199" s="5" t="s">
        <v>65</v>
      </c>
      <c r="C199" s="2">
        <v>27256</v>
      </c>
      <c r="D199" s="2">
        <v>1903</v>
      </c>
      <c r="E199" s="2">
        <v>3141</v>
      </c>
      <c r="F199" s="2">
        <v>2188</v>
      </c>
      <c r="G199" s="2">
        <v>8323</v>
      </c>
      <c r="H199" s="2">
        <v>2842</v>
      </c>
      <c r="I199" s="2">
        <v>238</v>
      </c>
      <c r="J199" s="2">
        <v>397</v>
      </c>
      <c r="K199" s="2">
        <v>109</v>
      </c>
      <c r="L199" s="2">
        <v>114</v>
      </c>
      <c r="M199" s="2">
        <v>108</v>
      </c>
      <c r="N199" s="2">
        <v>173</v>
      </c>
      <c r="O199" s="2">
        <v>140</v>
      </c>
      <c r="P199" s="2">
        <v>43</v>
      </c>
    </row>
    <row r="200" spans="1:16" ht="10.5" customHeight="1">
      <c r="A200" s="3" t="s">
        <v>76</v>
      </c>
      <c r="C200" s="2">
        <v>27256</v>
      </c>
      <c r="D200" s="2">
        <v>1903</v>
      </c>
      <c r="E200" s="2">
        <v>3141</v>
      </c>
      <c r="F200" s="2">
        <v>2188</v>
      </c>
      <c r="G200" s="2">
        <v>8323</v>
      </c>
      <c r="H200" s="2">
        <v>2842</v>
      </c>
      <c r="I200" s="2">
        <v>238</v>
      </c>
      <c r="J200" s="2">
        <v>397</v>
      </c>
      <c r="K200" s="2">
        <v>109</v>
      </c>
      <c r="L200" s="2">
        <v>114</v>
      </c>
      <c r="M200" s="2">
        <v>108</v>
      </c>
      <c r="N200" s="2">
        <v>173</v>
      </c>
      <c r="O200" s="2">
        <v>140</v>
      </c>
      <c r="P200" s="2">
        <v>43</v>
      </c>
    </row>
    <row r="201" spans="2:16" s="4" customFormat="1" ht="10.5" customHeight="1">
      <c r="B201" s="6" t="s">
        <v>132</v>
      </c>
      <c r="C201" s="4">
        <f>C200/32300</f>
        <v>0.8438390092879257</v>
      </c>
      <c r="D201" s="4">
        <f>D200/32300</f>
        <v>0.05891640866873065</v>
      </c>
      <c r="E201" s="4">
        <f>E200/32300</f>
        <v>0.09724458204334366</v>
      </c>
      <c r="F201" s="4">
        <f>F200/13988</f>
        <v>0.1564197883900486</v>
      </c>
      <c r="G201" s="4">
        <f>G200/13988</f>
        <v>0.5950100085787818</v>
      </c>
      <c r="H201" s="4">
        <f>H200/13988</f>
        <v>0.20317414927080354</v>
      </c>
      <c r="I201" s="4">
        <f>I200/13988</f>
        <v>0.01701458392908207</v>
      </c>
      <c r="J201" s="4">
        <f>J200/13988</f>
        <v>0.028381469831283958</v>
      </c>
      <c r="K201" s="4">
        <f>K200/331</f>
        <v>0.3293051359516616</v>
      </c>
      <c r="L201" s="4">
        <f>L200/331</f>
        <v>0.34441087613293053</v>
      </c>
      <c r="M201" s="4">
        <f>M200/331</f>
        <v>0.32628398791540786</v>
      </c>
      <c r="N201" s="4">
        <f>N200/173</f>
        <v>1</v>
      </c>
      <c r="O201" s="4">
        <f>O200/140</f>
        <v>1</v>
      </c>
      <c r="P201" s="4">
        <f>P200/43</f>
        <v>1</v>
      </c>
    </row>
    <row r="202" spans="2:16" ht="10.5" customHeight="1"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0.5" customHeight="1">
      <c r="A203" s="3" t="s">
        <v>114</v>
      </c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0.5" customHeight="1">
      <c r="B204" s="5" t="s">
        <v>65</v>
      </c>
      <c r="C204" s="2">
        <v>29270</v>
      </c>
      <c r="D204" s="2">
        <v>1741</v>
      </c>
      <c r="E204" s="2">
        <v>3980</v>
      </c>
      <c r="F204" s="2">
        <v>4860</v>
      </c>
      <c r="G204" s="2">
        <v>17471</v>
      </c>
      <c r="H204" s="2">
        <v>5988</v>
      </c>
      <c r="I204" s="2">
        <v>695</v>
      </c>
      <c r="J204" s="2">
        <v>571</v>
      </c>
      <c r="K204" s="2">
        <v>95</v>
      </c>
      <c r="L204" s="2">
        <v>125</v>
      </c>
      <c r="M204" s="2">
        <v>147</v>
      </c>
      <c r="N204" s="2">
        <v>218</v>
      </c>
      <c r="O204" s="2">
        <v>197</v>
      </c>
      <c r="P204" s="2">
        <v>57</v>
      </c>
    </row>
    <row r="205" spans="1:16" ht="10.5" customHeight="1">
      <c r="A205" s="3" t="s">
        <v>76</v>
      </c>
      <c r="C205" s="2">
        <v>29270</v>
      </c>
      <c r="D205" s="2">
        <v>1741</v>
      </c>
      <c r="E205" s="2">
        <v>3980</v>
      </c>
      <c r="F205" s="2">
        <v>4860</v>
      </c>
      <c r="G205" s="2">
        <v>17471</v>
      </c>
      <c r="H205" s="2">
        <v>5988</v>
      </c>
      <c r="I205" s="2">
        <v>695</v>
      </c>
      <c r="J205" s="2">
        <v>571</v>
      </c>
      <c r="K205" s="2">
        <v>95</v>
      </c>
      <c r="L205" s="2">
        <v>125</v>
      </c>
      <c r="M205" s="2">
        <v>147</v>
      </c>
      <c r="N205" s="2">
        <v>218</v>
      </c>
      <c r="O205" s="2">
        <v>197</v>
      </c>
      <c r="P205" s="2">
        <v>57</v>
      </c>
    </row>
    <row r="206" spans="2:16" s="4" customFormat="1" ht="10.5" customHeight="1">
      <c r="B206" s="6" t="s">
        <v>132</v>
      </c>
      <c r="C206" s="4">
        <f>C205/34991</f>
        <v>0.8365008144951559</v>
      </c>
      <c r="D206" s="4">
        <f>D205/34991</f>
        <v>0.04975565145323083</v>
      </c>
      <c r="E206" s="4">
        <f>E205/34991</f>
        <v>0.11374353405161328</v>
      </c>
      <c r="F206" s="4">
        <f>F205/29585</f>
        <v>0.16427243535575461</v>
      </c>
      <c r="G206" s="4">
        <f>G205/29585</f>
        <v>0.5905357444651006</v>
      </c>
      <c r="H206" s="4">
        <f>H205/29585</f>
        <v>0.2023998647963495</v>
      </c>
      <c r="I206" s="4">
        <f>I205/29585</f>
        <v>0.0234916342741254</v>
      </c>
      <c r="J206" s="4">
        <f>J205/29585</f>
        <v>0.019300321108669933</v>
      </c>
      <c r="K206" s="4">
        <f>K205/367</f>
        <v>0.25885558583106266</v>
      </c>
      <c r="L206" s="4">
        <f>L205/367</f>
        <v>0.3405994550408719</v>
      </c>
      <c r="M206" s="4">
        <f>M205/367</f>
        <v>0.40054495912806537</v>
      </c>
      <c r="N206" s="4">
        <f>N205/218</f>
        <v>1</v>
      </c>
      <c r="O206" s="4">
        <f>O205/197</f>
        <v>1</v>
      </c>
      <c r="P206" s="4">
        <f>P205/57</f>
        <v>1</v>
      </c>
    </row>
    <row r="207" spans="2:16" ht="10.5" customHeight="1"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0.5" customHeight="1">
      <c r="A208" s="3" t="s">
        <v>115</v>
      </c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0.5" customHeight="1">
      <c r="B209" s="5" t="s">
        <v>65</v>
      </c>
      <c r="C209" s="2">
        <v>53168</v>
      </c>
      <c r="D209" s="2">
        <v>3368</v>
      </c>
      <c r="E209" s="2">
        <v>4581</v>
      </c>
      <c r="F209" s="2">
        <v>5129</v>
      </c>
      <c r="G209" s="2">
        <v>23388</v>
      </c>
      <c r="H209" s="2">
        <v>7727</v>
      </c>
      <c r="I209" s="2">
        <v>428</v>
      </c>
      <c r="J209" s="2">
        <v>497</v>
      </c>
      <c r="K209" s="2">
        <v>144</v>
      </c>
      <c r="L209" s="2">
        <v>160</v>
      </c>
      <c r="M209" s="2">
        <v>180</v>
      </c>
      <c r="N209" s="2">
        <v>326</v>
      </c>
      <c r="O209" s="2">
        <v>285</v>
      </c>
      <c r="P209" s="2">
        <v>69</v>
      </c>
    </row>
    <row r="210" spans="1:16" ht="10.5" customHeight="1">
      <c r="A210" s="3" t="s">
        <v>76</v>
      </c>
      <c r="C210" s="2">
        <v>53168</v>
      </c>
      <c r="D210" s="2">
        <v>3368</v>
      </c>
      <c r="E210" s="2">
        <v>4581</v>
      </c>
      <c r="F210" s="2">
        <v>5129</v>
      </c>
      <c r="G210" s="2">
        <v>23388</v>
      </c>
      <c r="H210" s="2">
        <v>7727</v>
      </c>
      <c r="I210" s="2">
        <v>428</v>
      </c>
      <c r="J210" s="2">
        <v>497</v>
      </c>
      <c r="K210" s="2">
        <v>144</v>
      </c>
      <c r="L210" s="2">
        <v>160</v>
      </c>
      <c r="M210" s="2">
        <v>180</v>
      </c>
      <c r="N210" s="2">
        <v>326</v>
      </c>
      <c r="O210" s="2">
        <v>285</v>
      </c>
      <c r="P210" s="2">
        <v>69</v>
      </c>
    </row>
    <row r="211" spans="2:16" s="4" customFormat="1" ht="10.5" customHeight="1">
      <c r="B211" s="6" t="s">
        <v>132</v>
      </c>
      <c r="C211" s="4">
        <f>C210/61117</f>
        <v>0.8699379877939035</v>
      </c>
      <c r="D211" s="4">
        <f>D210/61117</f>
        <v>0.055107416921642095</v>
      </c>
      <c r="E211" s="4">
        <f>E210/61117</f>
        <v>0.0749545952844544</v>
      </c>
      <c r="F211" s="4">
        <f>F210/37169</f>
        <v>0.13799133686674378</v>
      </c>
      <c r="G211" s="4">
        <f>G210/37169</f>
        <v>0.6292340391186203</v>
      </c>
      <c r="H211" s="4">
        <f>H210/37169</f>
        <v>0.2078882940084479</v>
      </c>
      <c r="I211" s="4">
        <f>I210/37169</f>
        <v>0.011514972154214534</v>
      </c>
      <c r="J211" s="4">
        <f>J210/37169</f>
        <v>0.01337135785197342</v>
      </c>
      <c r="K211" s="4">
        <f>K210/484</f>
        <v>0.2975206611570248</v>
      </c>
      <c r="L211" s="4">
        <f>L210/484</f>
        <v>0.3305785123966942</v>
      </c>
      <c r="M211" s="4">
        <f>M210/484</f>
        <v>0.371900826446281</v>
      </c>
      <c r="N211" s="4">
        <f>N210/326</f>
        <v>1</v>
      </c>
      <c r="O211" s="4">
        <f>O210/285</f>
        <v>1</v>
      </c>
      <c r="P211" s="4">
        <f>P210/69</f>
        <v>1</v>
      </c>
    </row>
    <row r="212" spans="2:16" ht="10.5" customHeight="1"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0.5" customHeight="1">
      <c r="A213" s="3" t="s">
        <v>116</v>
      </c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0.5" customHeight="1">
      <c r="B214" s="5" t="s">
        <v>65</v>
      </c>
      <c r="C214" s="2">
        <v>20663</v>
      </c>
      <c r="D214" s="2">
        <v>1099</v>
      </c>
      <c r="E214" s="2">
        <v>2646</v>
      </c>
      <c r="F214" s="2">
        <v>1045</v>
      </c>
      <c r="G214" s="2">
        <v>3543</v>
      </c>
      <c r="H214" s="2">
        <v>1425</v>
      </c>
      <c r="I214" s="2">
        <v>137</v>
      </c>
      <c r="J214" s="2">
        <v>392</v>
      </c>
      <c r="K214" s="2">
        <v>87</v>
      </c>
      <c r="L214" s="2">
        <v>63</v>
      </c>
      <c r="M214" s="2">
        <v>85</v>
      </c>
      <c r="N214" s="2">
        <v>234</v>
      </c>
      <c r="O214" s="2">
        <v>97</v>
      </c>
      <c r="P214" s="2">
        <v>84</v>
      </c>
    </row>
    <row r="215" spans="1:16" ht="10.5" customHeight="1">
      <c r="A215" s="3" t="s">
        <v>76</v>
      </c>
      <c r="C215" s="2">
        <v>20663</v>
      </c>
      <c r="D215" s="2">
        <v>1099</v>
      </c>
      <c r="E215" s="2">
        <v>2646</v>
      </c>
      <c r="F215" s="2">
        <v>1045</v>
      </c>
      <c r="G215" s="2">
        <v>3543</v>
      </c>
      <c r="H215" s="2">
        <v>1425</v>
      </c>
      <c r="I215" s="2">
        <v>137</v>
      </c>
      <c r="J215" s="2">
        <v>392</v>
      </c>
      <c r="K215" s="2">
        <v>87</v>
      </c>
      <c r="L215" s="2">
        <v>63</v>
      </c>
      <c r="M215" s="2">
        <v>85</v>
      </c>
      <c r="N215" s="2">
        <v>234</v>
      </c>
      <c r="O215" s="2">
        <v>97</v>
      </c>
      <c r="P215" s="2">
        <v>84</v>
      </c>
    </row>
    <row r="216" spans="2:16" s="4" customFormat="1" ht="10.5" customHeight="1">
      <c r="B216" s="6" t="s">
        <v>132</v>
      </c>
      <c r="C216" s="4">
        <f>C215/24408</f>
        <v>0.8465666994428056</v>
      </c>
      <c r="D216" s="4">
        <f>D215/24408</f>
        <v>0.04502622091117666</v>
      </c>
      <c r="E216" s="4">
        <f>E215/24408</f>
        <v>0.1084070796460177</v>
      </c>
      <c r="F216" s="4">
        <f>F215/6542</f>
        <v>0.15973708346071538</v>
      </c>
      <c r="G216" s="4">
        <f>G215/6542</f>
        <v>0.5415774992357077</v>
      </c>
      <c r="H216" s="4">
        <f>H215/6542</f>
        <v>0.21782329562824823</v>
      </c>
      <c r="I216" s="4">
        <f>I215/6542</f>
        <v>0.02094160807092632</v>
      </c>
      <c r="J216" s="4">
        <f>J215/6542</f>
        <v>0.05992051360440232</v>
      </c>
      <c r="K216" s="4">
        <f>K215/235</f>
        <v>0.3702127659574468</v>
      </c>
      <c r="L216" s="4">
        <f>L215/235</f>
        <v>0.2680851063829787</v>
      </c>
      <c r="M216" s="4">
        <f>M215/235</f>
        <v>0.3617021276595745</v>
      </c>
      <c r="N216" s="4">
        <f>N215/234</f>
        <v>1</v>
      </c>
      <c r="O216" s="4">
        <f>O215/97</f>
        <v>1</v>
      </c>
      <c r="P216" s="4">
        <f>P215/84</f>
        <v>1</v>
      </c>
    </row>
    <row r="217" spans="2:16" ht="10.5" customHeight="1"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0.5" customHeight="1">
      <c r="A218" s="3" t="s">
        <v>117</v>
      </c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0.5" customHeight="1">
      <c r="B219" s="5" t="s">
        <v>65</v>
      </c>
      <c r="C219" s="2">
        <v>18331</v>
      </c>
      <c r="D219" s="2">
        <v>1556</v>
      </c>
      <c r="E219" s="2">
        <v>4330</v>
      </c>
      <c r="F219" s="2">
        <v>2588</v>
      </c>
      <c r="G219" s="2">
        <v>8603</v>
      </c>
      <c r="H219" s="2">
        <v>2787</v>
      </c>
      <c r="I219" s="2">
        <v>163</v>
      </c>
      <c r="J219" s="2">
        <v>566</v>
      </c>
      <c r="K219" s="2">
        <v>102</v>
      </c>
      <c r="L219" s="2">
        <v>117</v>
      </c>
      <c r="M219" s="2">
        <v>103</v>
      </c>
      <c r="N219" s="2">
        <v>61</v>
      </c>
      <c r="O219" s="2">
        <v>66</v>
      </c>
      <c r="P219" s="2">
        <v>52</v>
      </c>
    </row>
    <row r="220" spans="1:16" ht="10.5" customHeight="1">
      <c r="A220" s="3" t="s">
        <v>76</v>
      </c>
      <c r="C220" s="2">
        <v>18331</v>
      </c>
      <c r="D220" s="2">
        <v>1556</v>
      </c>
      <c r="E220" s="2">
        <v>4330</v>
      </c>
      <c r="F220" s="2">
        <v>2588</v>
      </c>
      <c r="G220" s="2">
        <v>8603</v>
      </c>
      <c r="H220" s="2">
        <v>2787</v>
      </c>
      <c r="I220" s="2">
        <v>163</v>
      </c>
      <c r="J220" s="2">
        <v>566</v>
      </c>
      <c r="K220" s="2">
        <v>102</v>
      </c>
      <c r="L220" s="2">
        <v>117</v>
      </c>
      <c r="M220" s="2">
        <v>103</v>
      </c>
      <c r="N220" s="2">
        <v>61</v>
      </c>
      <c r="O220" s="2">
        <v>66</v>
      </c>
      <c r="P220" s="2">
        <v>52</v>
      </c>
    </row>
    <row r="221" spans="2:16" s="4" customFormat="1" ht="10.5" customHeight="1">
      <c r="B221" s="6" t="s">
        <v>132</v>
      </c>
      <c r="C221" s="4">
        <f>C220/24217</f>
        <v>0.7569475987942355</v>
      </c>
      <c r="D221" s="4">
        <f>D220/24217</f>
        <v>0.06425238468844201</v>
      </c>
      <c r="E221" s="4">
        <f>E220/24217</f>
        <v>0.17880001651732255</v>
      </c>
      <c r="F221" s="4">
        <f>F220/14707</f>
        <v>0.17597062623240634</v>
      </c>
      <c r="G221" s="4">
        <f>G220/14707</f>
        <v>0.5849595430747263</v>
      </c>
      <c r="H221" s="4">
        <f>H220/14707</f>
        <v>0.18950159787856122</v>
      </c>
      <c r="I221" s="4">
        <f>I220/14707</f>
        <v>0.011083157680016319</v>
      </c>
      <c r="J221" s="4">
        <f>J220/14707</f>
        <v>0.038485075134289795</v>
      </c>
      <c r="K221" s="4">
        <f>K220/322</f>
        <v>0.3167701863354037</v>
      </c>
      <c r="L221" s="4">
        <f>L220/322</f>
        <v>0.36335403726708076</v>
      </c>
      <c r="M221" s="4">
        <f>M220/322</f>
        <v>0.3198757763975155</v>
      </c>
      <c r="N221" s="4">
        <f>N220/61</f>
        <v>1</v>
      </c>
      <c r="O221" s="4">
        <f>O220/66</f>
        <v>1</v>
      </c>
      <c r="P221" s="4">
        <f>P220/52</f>
        <v>1</v>
      </c>
    </row>
    <row r="222" spans="2:16" ht="10.5" customHeight="1"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0.5" customHeight="1">
      <c r="A223" s="3" t="s">
        <v>118</v>
      </c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0.5" customHeight="1">
      <c r="B224" s="5" t="s">
        <v>65</v>
      </c>
      <c r="C224" s="2">
        <v>46492</v>
      </c>
      <c r="D224" s="2">
        <v>1875</v>
      </c>
      <c r="E224" s="2">
        <v>2836</v>
      </c>
      <c r="F224" s="2">
        <v>1476</v>
      </c>
      <c r="G224" s="2">
        <v>4949</v>
      </c>
      <c r="H224" s="2">
        <v>2022</v>
      </c>
      <c r="I224" s="2">
        <v>193</v>
      </c>
      <c r="J224" s="2">
        <v>294</v>
      </c>
      <c r="K224" s="2">
        <v>82</v>
      </c>
      <c r="L224" s="2">
        <v>94</v>
      </c>
      <c r="M224" s="2">
        <v>113</v>
      </c>
      <c r="N224" s="2">
        <v>224</v>
      </c>
      <c r="O224" s="2">
        <v>126</v>
      </c>
      <c r="P224" s="2">
        <v>78</v>
      </c>
    </row>
    <row r="225" spans="1:16" ht="10.5" customHeight="1">
      <c r="A225" s="3" t="s">
        <v>76</v>
      </c>
      <c r="C225" s="2">
        <v>46492</v>
      </c>
      <c r="D225" s="2">
        <v>1875</v>
      </c>
      <c r="E225" s="2">
        <v>2836</v>
      </c>
      <c r="F225" s="2">
        <v>1476</v>
      </c>
      <c r="G225" s="2">
        <v>4949</v>
      </c>
      <c r="H225" s="2">
        <v>2022</v>
      </c>
      <c r="I225" s="2">
        <v>193</v>
      </c>
      <c r="J225" s="2">
        <v>294</v>
      </c>
      <c r="K225" s="2">
        <v>82</v>
      </c>
      <c r="L225" s="2">
        <v>94</v>
      </c>
      <c r="M225" s="2">
        <v>113</v>
      </c>
      <c r="N225" s="2">
        <v>224</v>
      </c>
      <c r="O225" s="2">
        <v>126</v>
      </c>
      <c r="P225" s="2">
        <v>78</v>
      </c>
    </row>
    <row r="226" spans="2:16" s="4" customFormat="1" ht="10.5" customHeight="1">
      <c r="B226" s="6" t="s">
        <v>132</v>
      </c>
      <c r="C226" s="4">
        <f>C225/51203</f>
        <v>0.9079936722457669</v>
      </c>
      <c r="D226" s="4">
        <f>D225/51203</f>
        <v>0.03661894810850927</v>
      </c>
      <c r="E226" s="4">
        <f>E225/51203</f>
        <v>0.055387379645723885</v>
      </c>
      <c r="F226" s="4">
        <f>F225/8934</f>
        <v>0.16521155137676294</v>
      </c>
      <c r="G226" s="4">
        <f>G225/8934</f>
        <v>0.5539511976718156</v>
      </c>
      <c r="H226" s="4">
        <f>H225/8934</f>
        <v>0.22632639355271994</v>
      </c>
      <c r="I226" s="4">
        <f>I225/8934</f>
        <v>0.021602865457801657</v>
      </c>
      <c r="J226" s="4">
        <f>J225/8934</f>
        <v>0.03290799194089993</v>
      </c>
      <c r="K226" s="4">
        <f>K225/289</f>
        <v>0.2837370242214533</v>
      </c>
      <c r="L226" s="4">
        <f>L225/289</f>
        <v>0.32525951557093424</v>
      </c>
      <c r="M226" s="4">
        <f>M225/289</f>
        <v>0.39100346020761245</v>
      </c>
      <c r="N226" s="4">
        <f>N225/224</f>
        <v>1</v>
      </c>
      <c r="O226" s="4">
        <f>O225/126</f>
        <v>1</v>
      </c>
      <c r="P226" s="4">
        <f>P225/78</f>
        <v>1</v>
      </c>
    </row>
    <row r="227" spans="2:16" ht="10.5" customHeight="1"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0.5" customHeight="1">
      <c r="A228" s="3" t="s">
        <v>119</v>
      </c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0.5" customHeight="1">
      <c r="B229" s="5" t="s">
        <v>65</v>
      </c>
      <c r="C229" s="2">
        <v>16235</v>
      </c>
      <c r="D229" s="2">
        <v>1057</v>
      </c>
      <c r="E229" s="2">
        <v>3568</v>
      </c>
      <c r="F229" s="2">
        <v>1550</v>
      </c>
      <c r="G229" s="2">
        <v>5093</v>
      </c>
      <c r="H229" s="2">
        <v>1512</v>
      </c>
      <c r="I229" s="2">
        <v>157</v>
      </c>
      <c r="J229" s="2">
        <v>427</v>
      </c>
      <c r="K229" s="2">
        <v>65</v>
      </c>
      <c r="L229" s="2">
        <v>74</v>
      </c>
      <c r="M229" s="2">
        <v>80</v>
      </c>
      <c r="N229" s="2">
        <v>73</v>
      </c>
      <c r="O229" s="2">
        <v>69</v>
      </c>
      <c r="P229" s="2">
        <v>41</v>
      </c>
    </row>
    <row r="230" spans="1:16" ht="10.5" customHeight="1">
      <c r="A230" s="3" t="s">
        <v>76</v>
      </c>
      <c r="C230" s="2">
        <v>16235</v>
      </c>
      <c r="D230" s="2">
        <v>1057</v>
      </c>
      <c r="E230" s="2">
        <v>3568</v>
      </c>
      <c r="F230" s="2">
        <v>1550</v>
      </c>
      <c r="G230" s="2">
        <v>5093</v>
      </c>
      <c r="H230" s="2">
        <v>1512</v>
      </c>
      <c r="I230" s="2">
        <v>157</v>
      </c>
      <c r="J230" s="2">
        <v>427</v>
      </c>
      <c r="K230" s="2">
        <v>65</v>
      </c>
      <c r="L230" s="2">
        <v>74</v>
      </c>
      <c r="M230" s="2">
        <v>80</v>
      </c>
      <c r="N230" s="2">
        <v>73</v>
      </c>
      <c r="O230" s="2">
        <v>69</v>
      </c>
      <c r="P230" s="2">
        <v>41</v>
      </c>
    </row>
    <row r="231" spans="2:16" s="4" customFormat="1" ht="10.5" customHeight="1">
      <c r="B231" s="6" t="s">
        <v>132</v>
      </c>
      <c r="C231" s="4">
        <f>C230/20860</f>
        <v>0.7782837967401726</v>
      </c>
      <c r="D231" s="4">
        <f>D230/20860</f>
        <v>0.05067114093959731</v>
      </c>
      <c r="E231" s="4">
        <f>E230/20860</f>
        <v>0.17104506232023012</v>
      </c>
      <c r="F231" s="4">
        <f>F230/8739</f>
        <v>0.17736583133081588</v>
      </c>
      <c r="G231" s="4">
        <f>G230/8739</f>
        <v>0.5827897928824808</v>
      </c>
      <c r="H231" s="4">
        <f>H230/8739</f>
        <v>0.17301750772399588</v>
      </c>
      <c r="I231" s="4">
        <f>I230/8739</f>
        <v>0.01796544227028264</v>
      </c>
      <c r="J231" s="4">
        <f>J230/8739</f>
        <v>0.048861425792424765</v>
      </c>
      <c r="K231" s="4">
        <f>K230/219</f>
        <v>0.2968036529680365</v>
      </c>
      <c r="L231" s="4">
        <f>L230/219</f>
        <v>0.3378995433789954</v>
      </c>
      <c r="M231" s="4">
        <f>M230/219</f>
        <v>0.365296803652968</v>
      </c>
      <c r="N231" s="4">
        <f>N230/73</f>
        <v>1</v>
      </c>
      <c r="O231" s="4">
        <f>O230/69</f>
        <v>1</v>
      </c>
      <c r="P231" s="4">
        <f>P230/41</f>
        <v>1</v>
      </c>
    </row>
    <row r="232" spans="2:16" ht="10.5" customHeight="1"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0.5" customHeight="1">
      <c r="A233" s="3" t="s">
        <v>120</v>
      </c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0.5" customHeight="1">
      <c r="B234" s="5" t="s">
        <v>65</v>
      </c>
      <c r="C234" s="2">
        <v>31596</v>
      </c>
      <c r="D234" s="2">
        <v>1517</v>
      </c>
      <c r="E234" s="2">
        <v>2874</v>
      </c>
      <c r="F234" s="2">
        <v>1612</v>
      </c>
      <c r="G234" s="2">
        <v>5409</v>
      </c>
      <c r="H234" s="2">
        <v>1658</v>
      </c>
      <c r="I234" s="2">
        <v>115</v>
      </c>
      <c r="J234" s="2">
        <v>342</v>
      </c>
      <c r="K234" s="2">
        <v>99</v>
      </c>
      <c r="L234" s="2">
        <v>86</v>
      </c>
      <c r="M234" s="2">
        <v>81</v>
      </c>
      <c r="N234" s="2">
        <v>77</v>
      </c>
      <c r="O234" s="2">
        <v>72</v>
      </c>
      <c r="P234" s="2">
        <v>40</v>
      </c>
    </row>
    <row r="235" spans="1:16" ht="10.5" customHeight="1">
      <c r="A235" s="3" t="s">
        <v>76</v>
      </c>
      <c r="C235" s="2">
        <v>31596</v>
      </c>
      <c r="D235" s="2">
        <v>1517</v>
      </c>
      <c r="E235" s="2">
        <v>2874</v>
      </c>
      <c r="F235" s="2">
        <v>1612</v>
      </c>
      <c r="G235" s="2">
        <v>5409</v>
      </c>
      <c r="H235" s="2">
        <v>1658</v>
      </c>
      <c r="I235" s="2">
        <v>115</v>
      </c>
      <c r="J235" s="2">
        <v>342</v>
      </c>
      <c r="K235" s="2">
        <v>99</v>
      </c>
      <c r="L235" s="2">
        <v>86</v>
      </c>
      <c r="M235" s="2">
        <v>81</v>
      </c>
      <c r="N235" s="2">
        <v>77</v>
      </c>
      <c r="O235" s="2">
        <v>72</v>
      </c>
      <c r="P235" s="2">
        <v>40</v>
      </c>
    </row>
    <row r="236" spans="2:16" s="4" customFormat="1" ht="10.5" customHeight="1">
      <c r="B236" s="6" t="s">
        <v>132</v>
      </c>
      <c r="C236" s="4">
        <f>C235/35987</f>
        <v>0.8779837163420124</v>
      </c>
      <c r="D236" s="4">
        <f>D235/35987</f>
        <v>0.04215411120682468</v>
      </c>
      <c r="E236" s="4">
        <f>E235/35987</f>
        <v>0.07986217245116292</v>
      </c>
      <c r="F236" s="4">
        <f>F235/9136</f>
        <v>0.17644483362521893</v>
      </c>
      <c r="G236" s="4">
        <f>G235/9136</f>
        <v>0.5920534150612959</v>
      </c>
      <c r="H236" s="4">
        <f>H235/9136</f>
        <v>0.18147985989492119</v>
      </c>
      <c r="I236" s="4">
        <f>I235/9136</f>
        <v>0.012587565674255691</v>
      </c>
      <c r="J236" s="4">
        <f>J235/9136</f>
        <v>0.03743432574430823</v>
      </c>
      <c r="K236" s="4">
        <f>K235/266</f>
        <v>0.37218045112781956</v>
      </c>
      <c r="L236" s="4">
        <f>L235/266</f>
        <v>0.3233082706766917</v>
      </c>
      <c r="M236" s="4">
        <f>M235/266</f>
        <v>0.30451127819548873</v>
      </c>
      <c r="N236" s="4">
        <f>N235/77</f>
        <v>1</v>
      </c>
      <c r="O236" s="4">
        <f>O235/72</f>
        <v>1</v>
      </c>
      <c r="P236" s="4">
        <f>P235/40</f>
        <v>1</v>
      </c>
    </row>
    <row r="237" spans="2:16" ht="10.5" customHeight="1"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0.5" customHeight="1">
      <c r="A238" s="3" t="s">
        <v>121</v>
      </c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0.5" customHeight="1">
      <c r="B239" s="5" t="s">
        <v>65</v>
      </c>
      <c r="C239" s="2">
        <v>37418</v>
      </c>
      <c r="D239" s="2">
        <v>2774</v>
      </c>
      <c r="E239" s="2">
        <v>6182</v>
      </c>
      <c r="F239" s="2">
        <v>7758</v>
      </c>
      <c r="G239" s="2">
        <v>22390</v>
      </c>
      <c r="H239" s="2">
        <v>6832</v>
      </c>
      <c r="I239" s="2">
        <v>410</v>
      </c>
      <c r="J239" s="2">
        <v>594</v>
      </c>
      <c r="K239" s="2">
        <v>169</v>
      </c>
      <c r="L239" s="2">
        <v>218</v>
      </c>
      <c r="M239" s="2">
        <v>185</v>
      </c>
      <c r="N239" s="2">
        <v>309</v>
      </c>
      <c r="O239" s="2">
        <v>314</v>
      </c>
      <c r="P239" s="2">
        <v>77</v>
      </c>
    </row>
    <row r="240" spans="1:16" ht="10.5" customHeight="1">
      <c r="A240" s="3" t="s">
        <v>76</v>
      </c>
      <c r="C240" s="2">
        <v>37418</v>
      </c>
      <c r="D240" s="2">
        <v>2774</v>
      </c>
      <c r="E240" s="2">
        <v>6182</v>
      </c>
      <c r="F240" s="2">
        <v>7758</v>
      </c>
      <c r="G240" s="2">
        <v>22390</v>
      </c>
      <c r="H240" s="2">
        <v>6832</v>
      </c>
      <c r="I240" s="2">
        <v>410</v>
      </c>
      <c r="J240" s="2">
        <v>594</v>
      </c>
      <c r="K240" s="2">
        <v>169</v>
      </c>
      <c r="L240" s="2">
        <v>218</v>
      </c>
      <c r="M240" s="2">
        <v>185</v>
      </c>
      <c r="N240" s="2">
        <v>309</v>
      </c>
      <c r="O240" s="2">
        <v>314</v>
      </c>
      <c r="P240" s="2">
        <v>77</v>
      </c>
    </row>
    <row r="241" spans="2:16" s="4" customFormat="1" ht="10.5" customHeight="1">
      <c r="B241" s="6" t="s">
        <v>132</v>
      </c>
      <c r="C241" s="4">
        <f>C240/46374</f>
        <v>0.8068745417690948</v>
      </c>
      <c r="D241" s="4">
        <f>D240/46374</f>
        <v>0.059818001466338894</v>
      </c>
      <c r="E241" s="4">
        <f>E240/46374</f>
        <v>0.13330745676456635</v>
      </c>
      <c r="F241" s="4">
        <f>F240/37984</f>
        <v>0.20424389216512215</v>
      </c>
      <c r="G241" s="4">
        <f>G240/37984</f>
        <v>0.5894587194608256</v>
      </c>
      <c r="H241" s="4">
        <f>H240/37984</f>
        <v>0.17986520640269588</v>
      </c>
      <c r="I241" s="4">
        <f>I240/37984</f>
        <v>0.01079401853411963</v>
      </c>
      <c r="J241" s="4">
        <f>J240/37984</f>
        <v>0.01563816343723673</v>
      </c>
      <c r="K241" s="4">
        <f>K240/572</f>
        <v>0.29545454545454547</v>
      </c>
      <c r="L241" s="4">
        <f>L240/572</f>
        <v>0.3811188811188811</v>
      </c>
      <c r="M241" s="4">
        <f>M240/572</f>
        <v>0.32342657342657344</v>
      </c>
      <c r="N241" s="4">
        <f>N240/309</f>
        <v>1</v>
      </c>
      <c r="O241" s="4">
        <f>O240/314</f>
        <v>1</v>
      </c>
      <c r="P241" s="4">
        <f>P240/77</f>
        <v>1</v>
      </c>
    </row>
    <row r="242" spans="2:16" ht="10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0.5" customHeight="1">
      <c r="A243" s="3" t="s">
        <v>122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0.5" customHeight="1">
      <c r="B244" s="5" t="s">
        <v>65</v>
      </c>
      <c r="C244" s="2">
        <v>29163</v>
      </c>
      <c r="D244" s="2">
        <v>1563</v>
      </c>
      <c r="E244" s="2">
        <v>3543</v>
      </c>
      <c r="F244" s="2">
        <v>2118</v>
      </c>
      <c r="G244" s="2">
        <v>6971</v>
      </c>
      <c r="H244" s="2">
        <v>2345</v>
      </c>
      <c r="I244" s="2">
        <v>195</v>
      </c>
      <c r="J244" s="2">
        <v>347</v>
      </c>
      <c r="K244" s="2">
        <v>140</v>
      </c>
      <c r="L244" s="2">
        <v>116</v>
      </c>
      <c r="M244" s="2">
        <v>125</v>
      </c>
      <c r="N244" s="2">
        <v>167</v>
      </c>
      <c r="O244" s="2">
        <v>133</v>
      </c>
      <c r="P244" s="2">
        <v>58</v>
      </c>
    </row>
    <row r="245" spans="1:16" ht="10.5" customHeight="1">
      <c r="A245" s="3" t="s">
        <v>76</v>
      </c>
      <c r="C245" s="2">
        <v>29163</v>
      </c>
      <c r="D245" s="2">
        <v>1563</v>
      </c>
      <c r="E245" s="2">
        <v>3543</v>
      </c>
      <c r="F245" s="2">
        <v>2118</v>
      </c>
      <c r="G245" s="2">
        <v>6971</v>
      </c>
      <c r="H245" s="2">
        <v>2345</v>
      </c>
      <c r="I245" s="2">
        <v>195</v>
      </c>
      <c r="J245" s="2">
        <v>347</v>
      </c>
      <c r="K245" s="2">
        <v>140</v>
      </c>
      <c r="L245" s="2">
        <v>116</v>
      </c>
      <c r="M245" s="2">
        <v>125</v>
      </c>
      <c r="N245" s="2">
        <v>167</v>
      </c>
      <c r="O245" s="2">
        <v>133</v>
      </c>
      <c r="P245" s="2">
        <v>58</v>
      </c>
    </row>
    <row r="246" spans="2:16" s="4" customFormat="1" ht="10.5" customHeight="1">
      <c r="B246" s="6" t="s">
        <v>132</v>
      </c>
      <c r="C246" s="4">
        <f>C245/34269</f>
        <v>0.8510023636522804</v>
      </c>
      <c r="D246" s="4">
        <f>D245/34269</f>
        <v>0.045609734745688524</v>
      </c>
      <c r="E246" s="4">
        <f>E245/34269</f>
        <v>0.10338790160203098</v>
      </c>
      <c r="F246" s="4">
        <f>F245/11976</f>
        <v>0.17685370741482967</v>
      </c>
      <c r="G246" s="4">
        <f>G245/11976</f>
        <v>0.5820808283233133</v>
      </c>
      <c r="H246" s="4">
        <f>H245/11976</f>
        <v>0.19580828323313293</v>
      </c>
      <c r="I246" s="4">
        <f>I245/11976</f>
        <v>0.01628256513026052</v>
      </c>
      <c r="J246" s="4">
        <f>J245/11976</f>
        <v>0.028974615898463594</v>
      </c>
      <c r="K246" s="4">
        <f>K245/381</f>
        <v>0.3674540682414698</v>
      </c>
      <c r="L246" s="4">
        <f>L245/381</f>
        <v>0.30446194225721784</v>
      </c>
      <c r="M246" s="4">
        <f>M245/381</f>
        <v>0.32808398950131235</v>
      </c>
      <c r="N246" s="4">
        <f>N245/167</f>
        <v>1</v>
      </c>
      <c r="O246" s="4">
        <f>O245/133</f>
        <v>1</v>
      </c>
      <c r="P246" s="4">
        <f>P245/58</f>
        <v>1</v>
      </c>
    </row>
    <row r="247" spans="2:16" ht="10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0.5" customHeight="1">
      <c r="A248" s="3" t="s">
        <v>123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0.5" customHeight="1">
      <c r="B249" s="5" t="s">
        <v>65</v>
      </c>
      <c r="C249" s="2">
        <v>19051</v>
      </c>
      <c r="D249" s="2">
        <v>1477</v>
      </c>
      <c r="E249" s="2">
        <v>4645</v>
      </c>
      <c r="F249" s="2">
        <v>2310</v>
      </c>
      <c r="G249" s="2">
        <v>7574</v>
      </c>
      <c r="H249" s="2">
        <v>2191</v>
      </c>
      <c r="I249" s="2">
        <v>188</v>
      </c>
      <c r="J249" s="2">
        <v>637</v>
      </c>
      <c r="K249" s="2">
        <v>86</v>
      </c>
      <c r="L249" s="2">
        <v>86</v>
      </c>
      <c r="M249" s="2">
        <v>90</v>
      </c>
      <c r="N249" s="2">
        <v>87</v>
      </c>
      <c r="O249" s="2">
        <v>65</v>
      </c>
      <c r="P249" s="2">
        <v>46</v>
      </c>
    </row>
    <row r="250" spans="1:16" ht="10.5" customHeight="1">
      <c r="A250" s="3" t="s">
        <v>76</v>
      </c>
      <c r="C250" s="2">
        <v>19051</v>
      </c>
      <c r="D250" s="2">
        <v>1477</v>
      </c>
      <c r="E250" s="2">
        <v>4645</v>
      </c>
      <c r="F250" s="2">
        <v>2310</v>
      </c>
      <c r="G250" s="2">
        <v>7574</v>
      </c>
      <c r="H250" s="2">
        <v>2191</v>
      </c>
      <c r="I250" s="2">
        <v>188</v>
      </c>
      <c r="J250" s="2">
        <v>637</v>
      </c>
      <c r="K250" s="2">
        <v>86</v>
      </c>
      <c r="L250" s="2">
        <v>86</v>
      </c>
      <c r="M250" s="2">
        <v>90</v>
      </c>
      <c r="N250" s="2">
        <v>87</v>
      </c>
      <c r="O250" s="2">
        <v>65</v>
      </c>
      <c r="P250" s="2">
        <v>46</v>
      </c>
    </row>
    <row r="251" spans="2:16" s="4" customFormat="1" ht="10.5" customHeight="1">
      <c r="B251" s="6" t="s">
        <v>132</v>
      </c>
      <c r="C251" s="4">
        <f>C250/25173</f>
        <v>0.7568029237675287</v>
      </c>
      <c r="D251" s="4">
        <f>D250/25173</f>
        <v>0.05867397608548842</v>
      </c>
      <c r="E251" s="4">
        <f>E250/25173</f>
        <v>0.18452310014698287</v>
      </c>
      <c r="F251" s="4">
        <f>F250/12900</f>
        <v>0.17906976744186046</v>
      </c>
      <c r="G251" s="4">
        <f>G250/12900</f>
        <v>0.5871317829457364</v>
      </c>
      <c r="H251" s="4">
        <f>H250/12900</f>
        <v>0.16984496124031007</v>
      </c>
      <c r="I251" s="4">
        <f>I250/12900</f>
        <v>0.014573643410852714</v>
      </c>
      <c r="J251" s="4">
        <f>J250/12900</f>
        <v>0.04937984496124031</v>
      </c>
      <c r="K251" s="4">
        <f>K250/262</f>
        <v>0.3282442748091603</v>
      </c>
      <c r="L251" s="4">
        <f>L250/262</f>
        <v>0.3282442748091603</v>
      </c>
      <c r="M251" s="4">
        <f>M250/262</f>
        <v>0.3435114503816794</v>
      </c>
      <c r="N251" s="4">
        <f>N250/87</f>
        <v>1</v>
      </c>
      <c r="O251" s="4">
        <f>O250/65</f>
        <v>1</v>
      </c>
      <c r="P251" s="4">
        <f>P250/46</f>
        <v>1</v>
      </c>
    </row>
    <row r="252" spans="2:16" ht="10.5" customHeight="1"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0.5" customHeight="1">
      <c r="A253" s="3" t="s">
        <v>124</v>
      </c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0.5" customHeight="1">
      <c r="B254" s="5" t="s">
        <v>65</v>
      </c>
      <c r="C254" s="2">
        <v>19279</v>
      </c>
      <c r="D254" s="2">
        <v>1728</v>
      </c>
      <c r="E254" s="2">
        <v>5158</v>
      </c>
      <c r="F254" s="2">
        <v>3917</v>
      </c>
      <c r="G254" s="2">
        <v>12489</v>
      </c>
      <c r="H254" s="2">
        <v>3090</v>
      </c>
      <c r="I254" s="2">
        <v>234</v>
      </c>
      <c r="J254" s="2">
        <v>623</v>
      </c>
      <c r="K254" s="2">
        <v>129</v>
      </c>
      <c r="L254" s="2">
        <v>124</v>
      </c>
      <c r="M254" s="2">
        <v>124</v>
      </c>
      <c r="N254" s="2">
        <v>86</v>
      </c>
      <c r="O254" s="2">
        <v>96</v>
      </c>
      <c r="P254" s="2">
        <v>32</v>
      </c>
    </row>
    <row r="255" spans="1:16" ht="10.5" customHeight="1">
      <c r="A255" s="3" t="s">
        <v>76</v>
      </c>
      <c r="C255" s="2">
        <v>19279</v>
      </c>
      <c r="D255" s="2">
        <v>1728</v>
      </c>
      <c r="E255" s="2">
        <v>5158</v>
      </c>
      <c r="F255" s="2">
        <v>3917</v>
      </c>
      <c r="G255" s="2">
        <v>12489</v>
      </c>
      <c r="H255" s="2">
        <v>3090</v>
      </c>
      <c r="I255" s="2">
        <v>234</v>
      </c>
      <c r="J255" s="2">
        <v>623</v>
      </c>
      <c r="K255" s="2">
        <v>129</v>
      </c>
      <c r="L255" s="2">
        <v>124</v>
      </c>
      <c r="M255" s="2">
        <v>124</v>
      </c>
      <c r="N255" s="2">
        <v>86</v>
      </c>
      <c r="O255" s="2">
        <v>96</v>
      </c>
      <c r="P255" s="2">
        <v>32</v>
      </c>
    </row>
    <row r="256" spans="2:16" s="4" customFormat="1" ht="10.5" customHeight="1">
      <c r="B256" s="6" t="s">
        <v>132</v>
      </c>
      <c r="C256" s="4">
        <f>C255/26165</f>
        <v>0.7368240015287598</v>
      </c>
      <c r="D256" s="4">
        <f>D255/26165</f>
        <v>0.06604242308427288</v>
      </c>
      <c r="E256" s="4">
        <f>E255/26165</f>
        <v>0.19713357538696732</v>
      </c>
      <c r="F256" s="4">
        <f>F255/20353</f>
        <v>0.19245320100230925</v>
      </c>
      <c r="G256" s="4">
        <f>G255/20353</f>
        <v>0.613619613816145</v>
      </c>
      <c r="H256" s="4">
        <f>H255/20353</f>
        <v>0.15182037046135705</v>
      </c>
      <c r="I256" s="4">
        <f>I255/20353</f>
        <v>0.011497076598044515</v>
      </c>
      <c r="J256" s="4">
        <f>J255/20353</f>
        <v>0.030609738122144157</v>
      </c>
      <c r="K256" s="4">
        <f>K255/377</f>
        <v>0.3421750663129973</v>
      </c>
      <c r="L256" s="4">
        <f>L255/377</f>
        <v>0.32891246684350134</v>
      </c>
      <c r="M256" s="4">
        <f>M255/377</f>
        <v>0.32891246684350134</v>
      </c>
      <c r="N256" s="4">
        <f>N255/86</f>
        <v>1</v>
      </c>
      <c r="O256" s="4">
        <f>O255/96</f>
        <v>1</v>
      </c>
      <c r="P256" s="4">
        <f>P255/32</f>
        <v>1</v>
      </c>
    </row>
    <row r="257" spans="2:16" ht="10.5" customHeight="1"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0.5" customHeight="1">
      <c r="A258" s="3" t="s">
        <v>125</v>
      </c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0.5" customHeight="1">
      <c r="B259" s="5" t="s">
        <v>72</v>
      </c>
      <c r="C259" s="2">
        <v>22007</v>
      </c>
      <c r="D259" s="2">
        <v>2597</v>
      </c>
      <c r="E259" s="2">
        <v>6099</v>
      </c>
      <c r="F259" s="2">
        <v>15579</v>
      </c>
      <c r="G259" s="2">
        <v>32248</v>
      </c>
      <c r="H259" s="2">
        <v>10340</v>
      </c>
      <c r="I259" s="2">
        <v>385</v>
      </c>
      <c r="J259" s="2">
        <v>906</v>
      </c>
      <c r="K259" s="2">
        <v>229</v>
      </c>
      <c r="L259" s="2">
        <v>233</v>
      </c>
      <c r="M259" s="2">
        <v>208</v>
      </c>
      <c r="N259" s="2">
        <v>174</v>
      </c>
      <c r="O259" s="2">
        <v>398</v>
      </c>
      <c r="P259" s="2">
        <v>52</v>
      </c>
    </row>
    <row r="260" spans="1:16" ht="10.5" customHeight="1">
      <c r="A260" s="3" t="s">
        <v>76</v>
      </c>
      <c r="C260" s="2">
        <v>22007</v>
      </c>
      <c r="D260" s="2">
        <v>2597</v>
      </c>
      <c r="E260" s="2">
        <v>6099</v>
      </c>
      <c r="F260" s="2">
        <v>15579</v>
      </c>
      <c r="G260" s="2">
        <v>32248</v>
      </c>
      <c r="H260" s="2">
        <v>10340</v>
      </c>
      <c r="I260" s="2">
        <v>385</v>
      </c>
      <c r="J260" s="2">
        <v>906</v>
      </c>
      <c r="K260" s="2">
        <v>229</v>
      </c>
      <c r="L260" s="2">
        <v>233</v>
      </c>
      <c r="M260" s="2">
        <v>208</v>
      </c>
      <c r="N260" s="2">
        <v>174</v>
      </c>
      <c r="O260" s="2">
        <v>398</v>
      </c>
      <c r="P260" s="2">
        <v>52</v>
      </c>
    </row>
    <row r="261" spans="2:16" s="4" customFormat="1" ht="10.5" customHeight="1">
      <c r="B261" s="6" t="s">
        <v>132</v>
      </c>
      <c r="C261" s="4">
        <f>C260/30703</f>
        <v>0.7167703481744455</v>
      </c>
      <c r="D261" s="4">
        <f>D260/30703</f>
        <v>0.08458456828322965</v>
      </c>
      <c r="E261" s="4">
        <f>E260/30703</f>
        <v>0.19864508354232485</v>
      </c>
      <c r="F261" s="4">
        <f>F260/59458</f>
        <v>0.2620168858690168</v>
      </c>
      <c r="G261" s="4">
        <f>G260/59458</f>
        <v>0.5423660398937065</v>
      </c>
      <c r="H261" s="4">
        <f>H260/59458</f>
        <v>0.17390426855931918</v>
      </c>
      <c r="I261" s="4">
        <f>I260/59458</f>
        <v>0.006475158935719331</v>
      </c>
      <c r="J261" s="4">
        <f>J260/59458</f>
        <v>0.01523764674223822</v>
      </c>
      <c r="K261" s="4">
        <f>K260/670</f>
        <v>0.3417910447761194</v>
      </c>
      <c r="L261" s="4">
        <f>L260/670</f>
        <v>0.34776119402985073</v>
      </c>
      <c r="M261" s="4">
        <f>M260/670</f>
        <v>0.31044776119402984</v>
      </c>
      <c r="N261" s="4">
        <f>N260/174</f>
        <v>1</v>
      </c>
      <c r="O261" s="4">
        <f>O260/398</f>
        <v>1</v>
      </c>
      <c r="P261" s="4">
        <f>P260/52</f>
        <v>1</v>
      </c>
    </row>
    <row r="262" spans="2:16" ht="10.5" customHeight="1"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0.5" customHeight="1">
      <c r="A263" s="3" t="s">
        <v>126</v>
      </c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0.5" customHeight="1">
      <c r="B264" s="5" t="s">
        <v>73</v>
      </c>
      <c r="C264" s="2">
        <v>5331</v>
      </c>
      <c r="D264" s="2">
        <v>766</v>
      </c>
      <c r="E264" s="2">
        <v>1732</v>
      </c>
      <c r="F264" s="2">
        <v>2115</v>
      </c>
      <c r="G264" s="2">
        <v>8356</v>
      </c>
      <c r="H264" s="2">
        <v>2149</v>
      </c>
      <c r="I264" s="2">
        <v>106</v>
      </c>
      <c r="J264" s="2">
        <v>192</v>
      </c>
      <c r="K264" s="2">
        <v>91</v>
      </c>
      <c r="L264" s="2">
        <v>105</v>
      </c>
      <c r="M264" s="2">
        <v>73</v>
      </c>
      <c r="N264" s="2">
        <v>39</v>
      </c>
      <c r="O264" s="2">
        <v>72</v>
      </c>
      <c r="P264" s="2">
        <v>13</v>
      </c>
    </row>
    <row r="265" spans="2:16" ht="10.5" customHeight="1">
      <c r="B265" s="5" t="s">
        <v>71</v>
      </c>
      <c r="C265" s="2">
        <v>18669</v>
      </c>
      <c r="D265" s="2">
        <v>2764</v>
      </c>
      <c r="E265" s="2">
        <v>6020</v>
      </c>
      <c r="F265" s="2">
        <v>9870</v>
      </c>
      <c r="G265" s="2">
        <v>33186</v>
      </c>
      <c r="H265" s="2">
        <v>8190</v>
      </c>
      <c r="I265" s="2">
        <v>337</v>
      </c>
      <c r="J265" s="2">
        <v>751</v>
      </c>
      <c r="K265" s="2">
        <v>498</v>
      </c>
      <c r="L265" s="2">
        <v>558</v>
      </c>
      <c r="M265" s="2">
        <v>257</v>
      </c>
      <c r="N265" s="2">
        <v>179</v>
      </c>
      <c r="O265" s="2">
        <v>369</v>
      </c>
      <c r="P265" s="2">
        <v>60</v>
      </c>
    </row>
    <row r="266" spans="1:16" ht="10.5" customHeight="1">
      <c r="A266" s="3" t="s">
        <v>76</v>
      </c>
      <c r="C266" s="2">
        <v>24000</v>
      </c>
      <c r="D266" s="2">
        <v>3530</v>
      </c>
      <c r="E266" s="2">
        <v>7752</v>
      </c>
      <c r="F266" s="2">
        <v>11985</v>
      </c>
      <c r="G266" s="2">
        <v>41542</v>
      </c>
      <c r="H266" s="2">
        <v>10339</v>
      </c>
      <c r="I266" s="2">
        <v>443</v>
      </c>
      <c r="J266" s="2">
        <v>943</v>
      </c>
      <c r="K266" s="2">
        <v>589</v>
      </c>
      <c r="L266" s="2">
        <v>663</v>
      </c>
      <c r="M266" s="2">
        <v>330</v>
      </c>
      <c r="N266" s="2">
        <v>218</v>
      </c>
      <c r="O266" s="2">
        <v>441</v>
      </c>
      <c r="P266" s="2">
        <v>73</v>
      </c>
    </row>
    <row r="267" spans="2:16" s="4" customFormat="1" ht="10.5" customHeight="1">
      <c r="B267" s="6" t="s">
        <v>132</v>
      </c>
      <c r="C267" s="4">
        <f>C266/35282</f>
        <v>0.6802335468510855</v>
      </c>
      <c r="D267" s="4">
        <f>D266/35282</f>
        <v>0.10005101751601383</v>
      </c>
      <c r="E267" s="4">
        <f>E266/35282</f>
        <v>0.21971543563290064</v>
      </c>
      <c r="F267" s="4">
        <f>F266/65252</f>
        <v>0.18367253111015755</v>
      </c>
      <c r="G267" s="4">
        <f>G266/65252</f>
        <v>0.6366394899773187</v>
      </c>
      <c r="H267" s="4">
        <f>H266/65252</f>
        <v>0.15844725065898363</v>
      </c>
      <c r="I267" s="4">
        <f>I266/65252</f>
        <v>0.006789063936737571</v>
      </c>
      <c r="J267" s="4">
        <f>J266/65252</f>
        <v>0.01445166431680255</v>
      </c>
      <c r="K267" s="4">
        <f>K266/1582</f>
        <v>0.3723135271807838</v>
      </c>
      <c r="L267" s="4">
        <f>L266/1582</f>
        <v>0.4190897597977244</v>
      </c>
      <c r="M267" s="4">
        <f>M266/1582</f>
        <v>0.20859671302149177</v>
      </c>
      <c r="N267" s="4">
        <f>N266/218</f>
        <v>1</v>
      </c>
      <c r="O267" s="4">
        <f>O266/441</f>
        <v>1</v>
      </c>
      <c r="P267" s="4">
        <f>P266/73</f>
        <v>1</v>
      </c>
    </row>
    <row r="268" spans="2:16" ht="10.5" customHeight="1"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0.5" customHeight="1">
      <c r="A269" s="3" t="s">
        <v>127</v>
      </c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0.5" customHeight="1">
      <c r="B270" s="5" t="s">
        <v>65</v>
      </c>
      <c r="C270" s="2">
        <v>4128</v>
      </c>
      <c r="D270" s="2">
        <v>450</v>
      </c>
      <c r="E270" s="2">
        <v>994</v>
      </c>
      <c r="F270" s="2">
        <v>1830</v>
      </c>
      <c r="G270" s="2">
        <v>5911</v>
      </c>
      <c r="H270" s="2">
        <v>1679</v>
      </c>
      <c r="I270" s="2">
        <v>113</v>
      </c>
      <c r="J270" s="2">
        <v>190</v>
      </c>
      <c r="K270" s="2">
        <v>40</v>
      </c>
      <c r="L270" s="2">
        <v>27</v>
      </c>
      <c r="M270" s="2">
        <v>26</v>
      </c>
      <c r="N270" s="2">
        <v>27</v>
      </c>
      <c r="O270" s="2">
        <v>28</v>
      </c>
      <c r="P270" s="2">
        <v>6</v>
      </c>
    </row>
    <row r="271" spans="2:16" ht="10.5" customHeight="1">
      <c r="B271" s="5" t="s">
        <v>72</v>
      </c>
      <c r="C271" s="2">
        <v>12726</v>
      </c>
      <c r="D271" s="2">
        <v>1441</v>
      </c>
      <c r="E271" s="2">
        <v>3550</v>
      </c>
      <c r="F271" s="2">
        <v>13503</v>
      </c>
      <c r="G271" s="2">
        <v>28044</v>
      </c>
      <c r="H271" s="2">
        <v>7463</v>
      </c>
      <c r="I271" s="2">
        <v>308</v>
      </c>
      <c r="J271" s="2">
        <v>600</v>
      </c>
      <c r="K271" s="2">
        <v>172</v>
      </c>
      <c r="L271" s="2">
        <v>189</v>
      </c>
      <c r="M271" s="2">
        <v>140</v>
      </c>
      <c r="N271" s="2">
        <v>86</v>
      </c>
      <c r="O271" s="2">
        <v>287</v>
      </c>
      <c r="P271" s="2">
        <v>30</v>
      </c>
    </row>
    <row r="272" spans="2:16" ht="10.5" customHeight="1">
      <c r="B272" s="5" t="s">
        <v>71</v>
      </c>
      <c r="C272" s="2">
        <v>3577</v>
      </c>
      <c r="D272" s="2">
        <v>483</v>
      </c>
      <c r="E272" s="2">
        <v>993</v>
      </c>
      <c r="F272" s="2">
        <v>2613</v>
      </c>
      <c r="G272" s="2">
        <v>5554</v>
      </c>
      <c r="H272" s="2">
        <v>1454</v>
      </c>
      <c r="I272" s="2">
        <v>52</v>
      </c>
      <c r="J272" s="2">
        <v>189</v>
      </c>
      <c r="K272" s="2">
        <v>57</v>
      </c>
      <c r="L272" s="2">
        <v>56</v>
      </c>
      <c r="M272" s="2">
        <v>33</v>
      </c>
      <c r="N272" s="2">
        <v>24</v>
      </c>
      <c r="O272" s="2">
        <v>50</v>
      </c>
      <c r="P272" s="2">
        <v>6</v>
      </c>
    </row>
    <row r="273" spans="1:16" ht="10.5" customHeight="1">
      <c r="A273" s="3" t="s">
        <v>76</v>
      </c>
      <c r="C273" s="2">
        <v>20431</v>
      </c>
      <c r="D273" s="2">
        <v>2374</v>
      </c>
      <c r="E273" s="2">
        <v>5537</v>
      </c>
      <c r="F273" s="2">
        <v>17946</v>
      </c>
      <c r="G273" s="2">
        <v>39509</v>
      </c>
      <c r="H273" s="2">
        <v>10596</v>
      </c>
      <c r="I273" s="2">
        <v>473</v>
      </c>
      <c r="J273" s="2">
        <v>979</v>
      </c>
      <c r="K273" s="2">
        <v>269</v>
      </c>
      <c r="L273" s="2">
        <v>272</v>
      </c>
      <c r="M273" s="2">
        <v>199</v>
      </c>
      <c r="N273" s="2">
        <v>137</v>
      </c>
      <c r="O273" s="2">
        <v>365</v>
      </c>
      <c r="P273" s="2">
        <v>42</v>
      </c>
    </row>
    <row r="274" spans="2:16" s="4" customFormat="1" ht="10.5" customHeight="1">
      <c r="B274" s="6" t="s">
        <v>132</v>
      </c>
      <c r="C274" s="4">
        <f>C273/28342</f>
        <v>0.7208736151294898</v>
      </c>
      <c r="D274" s="4">
        <f>D273/28342</f>
        <v>0.08376261378872345</v>
      </c>
      <c r="E274" s="4">
        <f>E273/28342</f>
        <v>0.19536377108178674</v>
      </c>
      <c r="F274" s="4">
        <f>F273/69503</f>
        <v>0.2582046818122959</v>
      </c>
      <c r="G274" s="4">
        <f>G273/69503</f>
        <v>0.5684502827216091</v>
      </c>
      <c r="H274" s="4">
        <f>H273/69503</f>
        <v>0.15245385091291022</v>
      </c>
      <c r="I274" s="4">
        <f>I273/69503</f>
        <v>0.006805461634749579</v>
      </c>
      <c r="J274" s="4">
        <f>J273/69503</f>
        <v>0.014085722918435175</v>
      </c>
      <c r="K274" s="4">
        <f>K273/740</f>
        <v>0.3635135135135135</v>
      </c>
      <c r="L274" s="4">
        <f>L273/740</f>
        <v>0.3675675675675676</v>
      </c>
      <c r="M274" s="4">
        <f>M273/740</f>
        <v>0.2689189189189189</v>
      </c>
      <c r="N274" s="4">
        <f>N273/137</f>
        <v>1</v>
      </c>
      <c r="O274" s="4">
        <f>O273/365</f>
        <v>1</v>
      </c>
      <c r="P274" s="4">
        <f>P273/42</f>
        <v>1</v>
      </c>
    </row>
    <row r="275" spans="2:16" ht="10.5" customHeight="1"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0.5" customHeight="1">
      <c r="A276" s="3" t="s">
        <v>128</v>
      </c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0.5" customHeight="1">
      <c r="B277" s="5" t="s">
        <v>71</v>
      </c>
      <c r="C277" s="2">
        <v>16392</v>
      </c>
      <c r="D277" s="2">
        <v>1769</v>
      </c>
      <c r="E277" s="2">
        <v>3929</v>
      </c>
      <c r="F277" s="2">
        <v>3785</v>
      </c>
      <c r="G277" s="2">
        <v>8718</v>
      </c>
      <c r="H277" s="2">
        <v>2591</v>
      </c>
      <c r="I277" s="2">
        <v>116</v>
      </c>
      <c r="J277" s="2">
        <v>658</v>
      </c>
      <c r="K277" s="2">
        <v>161</v>
      </c>
      <c r="L277" s="2">
        <v>154</v>
      </c>
      <c r="M277" s="2">
        <v>133</v>
      </c>
      <c r="N277" s="2">
        <v>70</v>
      </c>
      <c r="O277" s="2">
        <v>111</v>
      </c>
      <c r="P277" s="2">
        <v>31</v>
      </c>
    </row>
    <row r="278" spans="1:16" ht="10.5" customHeight="1">
      <c r="A278" s="3" t="s">
        <v>76</v>
      </c>
      <c r="C278" s="2">
        <v>16392</v>
      </c>
      <c r="D278" s="2">
        <v>1769</v>
      </c>
      <c r="E278" s="2">
        <v>3929</v>
      </c>
      <c r="F278" s="2">
        <v>3785</v>
      </c>
      <c r="G278" s="2">
        <v>8718</v>
      </c>
      <c r="H278" s="2">
        <v>2591</v>
      </c>
      <c r="I278" s="2">
        <v>116</v>
      </c>
      <c r="J278" s="2">
        <v>658</v>
      </c>
      <c r="K278" s="2">
        <v>161</v>
      </c>
      <c r="L278" s="2">
        <v>154</v>
      </c>
      <c r="M278" s="2">
        <v>133</v>
      </c>
      <c r="N278" s="2">
        <v>70</v>
      </c>
      <c r="O278" s="2">
        <v>111</v>
      </c>
      <c r="P278" s="2">
        <v>31</v>
      </c>
    </row>
    <row r="279" spans="2:16" s="4" customFormat="1" ht="10.5" customHeight="1">
      <c r="B279" s="6" t="s">
        <v>132</v>
      </c>
      <c r="C279" s="4">
        <f>C278/22090</f>
        <v>0.7420552286102309</v>
      </c>
      <c r="D279" s="4">
        <f>D278/22090</f>
        <v>0.08008148483476686</v>
      </c>
      <c r="E279" s="4">
        <f>E278/22090</f>
        <v>0.17786328655500228</v>
      </c>
      <c r="F279" s="4">
        <f>F278/15868</f>
        <v>0.2385303755986892</v>
      </c>
      <c r="G279" s="4">
        <f>G278/15868</f>
        <v>0.5494076128056465</v>
      </c>
      <c r="H279" s="4">
        <f>H278/15868</f>
        <v>0.1632845979329468</v>
      </c>
      <c r="I279" s="4">
        <f>I278/15868</f>
        <v>0.007310310057978321</v>
      </c>
      <c r="J279" s="4">
        <f>J278/15868</f>
        <v>0.0414671036047391</v>
      </c>
      <c r="K279" s="4">
        <f>K278/448</f>
        <v>0.359375</v>
      </c>
      <c r="L279" s="4">
        <f>L278/448</f>
        <v>0.34375</v>
      </c>
      <c r="M279" s="4">
        <f>M278/448</f>
        <v>0.296875</v>
      </c>
      <c r="N279" s="4">
        <f>N278/70</f>
        <v>1</v>
      </c>
      <c r="O279" s="4">
        <f>O278/111</f>
        <v>1</v>
      </c>
      <c r="P279" s="4">
        <f>P278/31</f>
        <v>1</v>
      </c>
    </row>
    <row r="280" spans="2:16" ht="10.5" customHeight="1"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0.5" customHeight="1">
      <c r="A281" s="3" t="s">
        <v>129</v>
      </c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0.5" customHeight="1">
      <c r="B282" s="5" t="s">
        <v>72</v>
      </c>
      <c r="C282" s="2">
        <v>4150</v>
      </c>
      <c r="D282" s="2">
        <v>410</v>
      </c>
      <c r="E282" s="2">
        <v>787</v>
      </c>
      <c r="F282" s="2">
        <v>4641</v>
      </c>
      <c r="G282" s="2">
        <v>9878</v>
      </c>
      <c r="H282" s="2">
        <v>2737</v>
      </c>
      <c r="I282" s="2">
        <v>64</v>
      </c>
      <c r="J282" s="2">
        <v>153</v>
      </c>
      <c r="K282" s="2">
        <v>48</v>
      </c>
      <c r="L282" s="2">
        <v>66</v>
      </c>
      <c r="M282" s="2">
        <v>49</v>
      </c>
      <c r="N282" s="2">
        <v>29</v>
      </c>
      <c r="O282" s="2">
        <v>101</v>
      </c>
      <c r="P282" s="2">
        <v>4</v>
      </c>
    </row>
    <row r="283" spans="2:16" ht="10.5" customHeight="1">
      <c r="B283" s="5" t="s">
        <v>73</v>
      </c>
      <c r="C283" s="2">
        <v>18070</v>
      </c>
      <c r="D283" s="2">
        <v>2147</v>
      </c>
      <c r="E283" s="2">
        <v>5157</v>
      </c>
      <c r="F283" s="2">
        <v>8053</v>
      </c>
      <c r="G283" s="2">
        <v>24617</v>
      </c>
      <c r="H283" s="2">
        <v>6710</v>
      </c>
      <c r="I283" s="2">
        <v>218</v>
      </c>
      <c r="J283" s="2">
        <v>709</v>
      </c>
      <c r="K283" s="2">
        <v>243</v>
      </c>
      <c r="L283" s="2">
        <v>288</v>
      </c>
      <c r="M283" s="2">
        <v>152</v>
      </c>
      <c r="N283" s="2">
        <v>137</v>
      </c>
      <c r="O283" s="2">
        <v>268</v>
      </c>
      <c r="P283" s="2">
        <v>51</v>
      </c>
    </row>
    <row r="284" spans="1:16" ht="10.5" customHeight="1">
      <c r="A284" s="3" t="s">
        <v>76</v>
      </c>
      <c r="C284" s="2">
        <v>22220</v>
      </c>
      <c r="D284" s="2">
        <v>2557</v>
      </c>
      <c r="E284" s="2">
        <v>5944</v>
      </c>
      <c r="F284" s="2">
        <v>12694</v>
      </c>
      <c r="G284" s="2">
        <v>34495</v>
      </c>
      <c r="H284" s="2">
        <v>9447</v>
      </c>
      <c r="I284" s="2">
        <v>282</v>
      </c>
      <c r="J284" s="2">
        <v>862</v>
      </c>
      <c r="K284" s="2">
        <v>291</v>
      </c>
      <c r="L284" s="2">
        <v>354</v>
      </c>
      <c r="M284" s="2">
        <v>201</v>
      </c>
      <c r="N284" s="2">
        <v>166</v>
      </c>
      <c r="O284" s="2">
        <v>369</v>
      </c>
      <c r="P284" s="2">
        <v>55</v>
      </c>
    </row>
    <row r="285" spans="2:16" s="4" customFormat="1" ht="10.5" customHeight="1">
      <c r="B285" s="6" t="s">
        <v>132</v>
      </c>
      <c r="C285" s="4">
        <f>C284/30721</f>
        <v>0.7232837472738518</v>
      </c>
      <c r="D285" s="4">
        <f>D284/30721</f>
        <v>0.08323296767683344</v>
      </c>
      <c r="E285" s="4">
        <f>E284/30721</f>
        <v>0.1934832850493148</v>
      </c>
      <c r="F285" s="4">
        <f>F284/57780</f>
        <v>0.21969539633091034</v>
      </c>
      <c r="G285" s="4">
        <f>G284/57780</f>
        <v>0.597005884389062</v>
      </c>
      <c r="H285" s="4">
        <f>H284/57780</f>
        <v>0.1634994807892004</v>
      </c>
      <c r="I285" s="4">
        <f>I284/57780</f>
        <v>0.0048805815160955345</v>
      </c>
      <c r="J285" s="4">
        <f>J284/57780</f>
        <v>0.01491865697473174</v>
      </c>
      <c r="K285" s="4">
        <f>K284/846</f>
        <v>0.34397163120567376</v>
      </c>
      <c r="L285" s="4">
        <f>L284/846</f>
        <v>0.41843971631205673</v>
      </c>
      <c r="M285" s="4">
        <f>M284/846</f>
        <v>0.2375886524822695</v>
      </c>
      <c r="N285" s="4">
        <f>N284/166</f>
        <v>1</v>
      </c>
      <c r="O285" s="4">
        <f>O284/369</f>
        <v>1</v>
      </c>
      <c r="P285" s="4">
        <f>P284/55</f>
        <v>1</v>
      </c>
    </row>
    <row r="286" spans="2:16" ht="10.5" customHeight="1"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0.5" customHeight="1">
      <c r="A287" s="3" t="s">
        <v>77</v>
      </c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0.5" customHeight="1">
      <c r="B288" s="5" t="s">
        <v>73</v>
      </c>
      <c r="C288" s="2">
        <v>29557</v>
      </c>
      <c r="D288" s="2">
        <v>2349</v>
      </c>
      <c r="E288" s="2">
        <v>6359</v>
      </c>
      <c r="F288" s="2">
        <v>10290</v>
      </c>
      <c r="G288" s="2">
        <v>37561</v>
      </c>
      <c r="H288" s="2">
        <v>11144</v>
      </c>
      <c r="I288" s="2">
        <v>372</v>
      </c>
      <c r="J288" s="2">
        <v>1039</v>
      </c>
      <c r="K288" s="2">
        <v>355</v>
      </c>
      <c r="L288" s="2">
        <v>458</v>
      </c>
      <c r="M288" s="2">
        <v>237</v>
      </c>
      <c r="N288" s="2">
        <v>113</v>
      </c>
      <c r="O288" s="2">
        <v>268</v>
      </c>
      <c r="P288" s="2">
        <v>42</v>
      </c>
    </row>
    <row r="289" spans="1:16" ht="10.5" customHeight="1">
      <c r="A289" s="3" t="s">
        <v>76</v>
      </c>
      <c r="C289" s="2">
        <v>29557</v>
      </c>
      <c r="D289" s="2">
        <v>2349</v>
      </c>
      <c r="E289" s="2">
        <v>6359</v>
      </c>
      <c r="F289" s="2">
        <v>10290</v>
      </c>
      <c r="G289" s="2">
        <v>37561</v>
      </c>
      <c r="H289" s="2">
        <v>11144</v>
      </c>
      <c r="I289" s="2">
        <v>372</v>
      </c>
      <c r="J289" s="2">
        <v>1039</v>
      </c>
      <c r="K289" s="2">
        <v>355</v>
      </c>
      <c r="L289" s="2">
        <v>458</v>
      </c>
      <c r="M289" s="2">
        <v>237</v>
      </c>
      <c r="N289" s="2">
        <v>113</v>
      </c>
      <c r="O289" s="2">
        <v>268</v>
      </c>
      <c r="P289" s="2">
        <v>42</v>
      </c>
    </row>
    <row r="290" spans="2:16" s="4" customFormat="1" ht="10.5" customHeight="1">
      <c r="B290" s="6" t="s">
        <v>132</v>
      </c>
      <c r="C290" s="4">
        <f>C289/38265</f>
        <v>0.7724291127662355</v>
      </c>
      <c r="D290" s="4">
        <f>D289/38265</f>
        <v>0.061387691101528814</v>
      </c>
      <c r="E290" s="4">
        <f>E289/38265</f>
        <v>0.16618319613223573</v>
      </c>
      <c r="F290" s="4">
        <f>F289/60406</f>
        <v>0.17034731649173923</v>
      </c>
      <c r="G290" s="4">
        <f>G289/60406</f>
        <v>0.6218090918120717</v>
      </c>
      <c r="H290" s="4">
        <f>H289/60406</f>
        <v>0.18448498493527132</v>
      </c>
      <c r="I290" s="4">
        <f>I289/60406</f>
        <v>0.006158328642850048</v>
      </c>
      <c r="J290" s="4">
        <f>J289/60406</f>
        <v>0.017200278118067742</v>
      </c>
      <c r="K290" s="4">
        <f>K289/1050</f>
        <v>0.3380952380952381</v>
      </c>
      <c r="L290" s="4">
        <f>L289/1050</f>
        <v>0.4361904761904762</v>
      </c>
      <c r="M290" s="4">
        <f>M289/1050</f>
        <v>0.2257142857142857</v>
      </c>
      <c r="N290" s="4">
        <f>N289/113</f>
        <v>1</v>
      </c>
      <c r="O290" s="4">
        <f>O289/268</f>
        <v>1</v>
      </c>
      <c r="P290" s="4">
        <f>P289/42</f>
        <v>1</v>
      </c>
    </row>
    <row r="291" spans="2:16" ht="10.5" customHeight="1"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0.5" customHeight="1">
      <c r="A292" s="3" t="s">
        <v>78</v>
      </c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0.5" customHeight="1">
      <c r="B293" s="5" t="s">
        <v>65</v>
      </c>
      <c r="C293" s="2">
        <v>10839</v>
      </c>
      <c r="D293" s="2">
        <v>1006</v>
      </c>
      <c r="E293" s="2">
        <v>1819</v>
      </c>
      <c r="F293" s="2">
        <v>3652</v>
      </c>
      <c r="G293" s="2">
        <v>13764</v>
      </c>
      <c r="H293" s="2">
        <v>4278</v>
      </c>
      <c r="I293" s="2">
        <v>177</v>
      </c>
      <c r="J293" s="2">
        <v>195</v>
      </c>
      <c r="K293" s="2">
        <v>59</v>
      </c>
      <c r="L293" s="2">
        <v>60</v>
      </c>
      <c r="M293" s="2">
        <v>57</v>
      </c>
      <c r="N293" s="2">
        <v>106</v>
      </c>
      <c r="O293" s="2">
        <v>117</v>
      </c>
      <c r="P293" s="2">
        <v>16</v>
      </c>
    </row>
    <row r="294" spans="2:16" ht="10.5" customHeight="1">
      <c r="B294" s="5" t="s">
        <v>72</v>
      </c>
      <c r="C294" s="2">
        <v>19601</v>
      </c>
      <c r="D294" s="2">
        <v>1977</v>
      </c>
      <c r="E294" s="2">
        <v>4755</v>
      </c>
      <c r="F294" s="2">
        <v>14621</v>
      </c>
      <c r="G294" s="2">
        <v>27737</v>
      </c>
      <c r="H294" s="2">
        <v>9852</v>
      </c>
      <c r="I294" s="2">
        <v>368</v>
      </c>
      <c r="J294" s="2">
        <v>623</v>
      </c>
      <c r="K294" s="2">
        <v>225</v>
      </c>
      <c r="L294" s="2">
        <v>254</v>
      </c>
      <c r="M294" s="2">
        <v>193</v>
      </c>
      <c r="N294" s="2">
        <v>184</v>
      </c>
      <c r="O294" s="2">
        <v>393</v>
      </c>
      <c r="P294" s="2">
        <v>40</v>
      </c>
    </row>
    <row r="295" spans="1:16" ht="10.5" customHeight="1">
      <c r="A295" s="3" t="s">
        <v>76</v>
      </c>
      <c r="C295" s="2">
        <v>30440</v>
      </c>
      <c r="D295" s="2">
        <v>2983</v>
      </c>
      <c r="E295" s="2">
        <v>6574</v>
      </c>
      <c r="F295" s="2">
        <v>18273</v>
      </c>
      <c r="G295" s="2">
        <v>41501</v>
      </c>
      <c r="H295" s="2">
        <v>14130</v>
      </c>
      <c r="I295" s="2">
        <v>545</v>
      </c>
      <c r="J295" s="2">
        <v>818</v>
      </c>
      <c r="K295" s="2">
        <v>284</v>
      </c>
      <c r="L295" s="2">
        <v>314</v>
      </c>
      <c r="M295" s="2">
        <v>250</v>
      </c>
      <c r="N295" s="2">
        <v>290</v>
      </c>
      <c r="O295" s="2">
        <v>510</v>
      </c>
      <c r="P295" s="2">
        <v>56</v>
      </c>
    </row>
    <row r="296" spans="2:16" s="4" customFormat="1" ht="10.5" customHeight="1">
      <c r="B296" s="6" t="s">
        <v>132</v>
      </c>
      <c r="C296" s="4">
        <f>C295/39997</f>
        <v>0.7610570792809461</v>
      </c>
      <c r="D296" s="4">
        <f>D295/39997</f>
        <v>0.07458059354451584</v>
      </c>
      <c r="E296" s="4">
        <f>E295/39997</f>
        <v>0.16436232717453808</v>
      </c>
      <c r="F296" s="4">
        <f>F295/75267</f>
        <v>0.24277571844234525</v>
      </c>
      <c r="G296" s="4">
        <f>G295/75267</f>
        <v>0.5513837405503076</v>
      </c>
      <c r="H296" s="4">
        <f>H295/75267</f>
        <v>0.18773167523615927</v>
      </c>
      <c r="I296" s="4">
        <f>I295/75267</f>
        <v>0.007240889101465449</v>
      </c>
      <c r="J296" s="4">
        <f>J295/75267</f>
        <v>0.010867976669722454</v>
      </c>
      <c r="K296" s="4">
        <f>K295/848</f>
        <v>0.33490566037735847</v>
      </c>
      <c r="L296" s="4">
        <f>L295/848</f>
        <v>0.37028301886792453</v>
      </c>
      <c r="M296" s="4">
        <f>M295/848</f>
        <v>0.294811320754717</v>
      </c>
      <c r="N296" s="4">
        <f>N295/290</f>
        <v>1</v>
      </c>
      <c r="O296" s="4">
        <f>O295/510</f>
        <v>1</v>
      </c>
      <c r="P296" s="4">
        <f>P295/56</f>
        <v>1</v>
      </c>
    </row>
    <row r="297" spans="2:16" ht="10.5" customHeight="1"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0.5" customHeight="1">
      <c r="A298" s="3" t="s">
        <v>79</v>
      </c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0.5" customHeight="1">
      <c r="B299" s="5" t="s">
        <v>72</v>
      </c>
      <c r="C299" s="2">
        <v>14303</v>
      </c>
      <c r="D299" s="2">
        <v>1384</v>
      </c>
      <c r="E299" s="2">
        <v>3643</v>
      </c>
      <c r="F299" s="2">
        <v>5821</v>
      </c>
      <c r="G299" s="2">
        <v>8307</v>
      </c>
      <c r="H299" s="2">
        <v>4626</v>
      </c>
      <c r="I299" s="2">
        <v>171</v>
      </c>
      <c r="J299" s="2">
        <v>534</v>
      </c>
      <c r="K299" s="2">
        <v>116</v>
      </c>
      <c r="L299" s="2">
        <v>105</v>
      </c>
      <c r="M299" s="2">
        <v>106</v>
      </c>
      <c r="N299" s="2">
        <v>71</v>
      </c>
      <c r="O299" s="2">
        <v>153</v>
      </c>
      <c r="P299" s="2">
        <v>50</v>
      </c>
    </row>
    <row r="300" spans="1:16" ht="10.5" customHeight="1">
      <c r="A300" s="3" t="s">
        <v>76</v>
      </c>
      <c r="C300" s="2">
        <v>14303</v>
      </c>
      <c r="D300" s="2">
        <v>1384</v>
      </c>
      <c r="E300" s="2">
        <v>3643</v>
      </c>
      <c r="F300" s="2">
        <v>5821</v>
      </c>
      <c r="G300" s="2">
        <v>8307</v>
      </c>
      <c r="H300" s="2">
        <v>4626</v>
      </c>
      <c r="I300" s="2">
        <v>171</v>
      </c>
      <c r="J300" s="2">
        <v>534</v>
      </c>
      <c r="K300" s="2">
        <v>116</v>
      </c>
      <c r="L300" s="2">
        <v>105</v>
      </c>
      <c r="M300" s="2">
        <v>106</v>
      </c>
      <c r="N300" s="2">
        <v>71</v>
      </c>
      <c r="O300" s="2">
        <v>153</v>
      </c>
      <c r="P300" s="2">
        <v>50</v>
      </c>
    </row>
    <row r="301" spans="2:16" s="4" customFormat="1" ht="10.5" customHeight="1">
      <c r="B301" s="6" t="s">
        <v>132</v>
      </c>
      <c r="C301" s="4">
        <f>C300/19330</f>
        <v>0.7399379203310915</v>
      </c>
      <c r="D301" s="4">
        <f>D300/19330</f>
        <v>0.07159855147439213</v>
      </c>
      <c r="E301" s="4">
        <f>E300/19330</f>
        <v>0.18846352819451628</v>
      </c>
      <c r="F301" s="4">
        <f>F300/19459</f>
        <v>0.29914178529215274</v>
      </c>
      <c r="G301" s="4">
        <f>G300/19459</f>
        <v>0.42689757952618324</v>
      </c>
      <c r="H301" s="4">
        <f>H300/19459</f>
        <v>0.23773061308392004</v>
      </c>
      <c r="I301" s="4">
        <f>I300/19459</f>
        <v>0.0087877074875379</v>
      </c>
      <c r="J301" s="4">
        <f>J300/19459</f>
        <v>0.027442314610206076</v>
      </c>
      <c r="K301" s="4">
        <f>K300/327</f>
        <v>0.3547400611620795</v>
      </c>
      <c r="L301" s="4">
        <f>L300/327</f>
        <v>0.3211009174311927</v>
      </c>
      <c r="M301" s="4">
        <f>M300/327</f>
        <v>0.3241590214067278</v>
      </c>
      <c r="N301" s="4">
        <f>N300/71</f>
        <v>1</v>
      </c>
      <c r="O301" s="4">
        <f>O300/153</f>
        <v>1</v>
      </c>
      <c r="P301" s="4">
        <f>P300/50</f>
        <v>1</v>
      </c>
    </row>
    <row r="302" spans="2:16" ht="10.5" customHeight="1"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0.5" customHeight="1">
      <c r="A303" s="3" t="s">
        <v>80</v>
      </c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0.5" customHeight="1">
      <c r="B304" s="5" t="s">
        <v>72</v>
      </c>
      <c r="C304" s="2">
        <v>30040</v>
      </c>
      <c r="D304" s="2">
        <v>2204</v>
      </c>
      <c r="E304" s="2">
        <v>4855</v>
      </c>
      <c r="F304" s="2">
        <v>24239</v>
      </c>
      <c r="G304" s="2">
        <v>43921</v>
      </c>
      <c r="H304" s="2">
        <v>14109</v>
      </c>
      <c r="I304" s="2">
        <v>526</v>
      </c>
      <c r="J304" s="2">
        <v>679</v>
      </c>
      <c r="K304" s="2">
        <v>223</v>
      </c>
      <c r="L304" s="2">
        <v>348</v>
      </c>
      <c r="M304" s="2">
        <v>252</v>
      </c>
      <c r="N304" s="2">
        <v>197</v>
      </c>
      <c r="O304" s="2">
        <v>567</v>
      </c>
      <c r="P304" s="2">
        <v>40</v>
      </c>
    </row>
    <row r="305" spans="1:16" ht="10.5" customHeight="1">
      <c r="A305" s="3" t="s">
        <v>76</v>
      </c>
      <c r="C305" s="2">
        <v>30040</v>
      </c>
      <c r="D305" s="2">
        <v>2204</v>
      </c>
      <c r="E305" s="2">
        <v>4855</v>
      </c>
      <c r="F305" s="2">
        <v>24239</v>
      </c>
      <c r="G305" s="2">
        <v>43921</v>
      </c>
      <c r="H305" s="2">
        <v>14109</v>
      </c>
      <c r="I305" s="2">
        <v>526</v>
      </c>
      <c r="J305" s="2">
        <v>679</v>
      </c>
      <c r="K305" s="2">
        <v>223</v>
      </c>
      <c r="L305" s="2">
        <v>348</v>
      </c>
      <c r="M305" s="2">
        <v>252</v>
      </c>
      <c r="N305" s="2">
        <v>197</v>
      </c>
      <c r="O305" s="2">
        <v>567</v>
      </c>
      <c r="P305" s="2">
        <v>40</v>
      </c>
    </row>
    <row r="306" spans="2:16" s="4" customFormat="1" ht="10.5" customHeight="1">
      <c r="B306" s="6" t="s">
        <v>132</v>
      </c>
      <c r="C306" s="4">
        <f>C305/37099</f>
        <v>0.8097253295237068</v>
      </c>
      <c r="D306" s="4">
        <f>D305/37099</f>
        <v>0.05940860939647969</v>
      </c>
      <c r="E306" s="4">
        <f>E305/37099</f>
        <v>0.13086606107981347</v>
      </c>
      <c r="F306" s="4">
        <f>F305/83474</f>
        <v>0.2903778422023624</v>
      </c>
      <c r="G306" s="4">
        <f>G305/83474</f>
        <v>0.5261638354457675</v>
      </c>
      <c r="H306" s="4">
        <f>H305/83474</f>
        <v>0.16902268969978676</v>
      </c>
      <c r="I306" s="4">
        <f>I305/83474</f>
        <v>0.006301363298751707</v>
      </c>
      <c r="J306" s="4">
        <f>J305/83474</f>
        <v>0.008134269353331577</v>
      </c>
      <c r="K306" s="4">
        <f>K305/823</f>
        <v>0.2709599027946537</v>
      </c>
      <c r="L306" s="4">
        <f>L305/823</f>
        <v>0.42284325637910086</v>
      </c>
      <c r="M306" s="4">
        <f>M305/823</f>
        <v>0.30619684082624543</v>
      </c>
      <c r="N306" s="4">
        <f>N305/197</f>
        <v>1</v>
      </c>
      <c r="O306" s="4">
        <f>O305/567</f>
        <v>1</v>
      </c>
      <c r="P306" s="4">
        <f>P305/40</f>
        <v>1</v>
      </c>
    </row>
    <row r="307" spans="2:16" ht="10.5" customHeight="1"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0.5" customHeight="1">
      <c r="A308" s="3" t="s">
        <v>81</v>
      </c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0.5" customHeight="1">
      <c r="B309" s="5" t="s">
        <v>73</v>
      </c>
      <c r="C309" s="2">
        <v>7527</v>
      </c>
      <c r="D309" s="2">
        <v>1049</v>
      </c>
      <c r="E309" s="2">
        <v>2132</v>
      </c>
      <c r="F309" s="2">
        <v>4709</v>
      </c>
      <c r="G309" s="2">
        <v>14850</v>
      </c>
      <c r="H309" s="2">
        <v>3188</v>
      </c>
      <c r="I309" s="2">
        <v>109</v>
      </c>
      <c r="J309" s="2">
        <v>307</v>
      </c>
      <c r="K309" s="2">
        <v>155</v>
      </c>
      <c r="L309" s="2">
        <v>176</v>
      </c>
      <c r="M309" s="2">
        <v>80</v>
      </c>
      <c r="N309" s="2">
        <v>48</v>
      </c>
      <c r="O309" s="2">
        <v>120</v>
      </c>
      <c r="P309" s="2">
        <v>22</v>
      </c>
    </row>
    <row r="310" spans="2:16" ht="10.5" customHeight="1">
      <c r="B310" s="5" t="s">
        <v>74</v>
      </c>
      <c r="C310" s="2">
        <v>15391</v>
      </c>
      <c r="D310" s="2">
        <v>1341</v>
      </c>
      <c r="E310" s="2">
        <v>3424</v>
      </c>
      <c r="F310" s="2">
        <v>9244</v>
      </c>
      <c r="G310" s="2">
        <v>26698</v>
      </c>
      <c r="H310" s="2">
        <v>5623</v>
      </c>
      <c r="I310" s="2">
        <v>198</v>
      </c>
      <c r="J310" s="2">
        <v>528</v>
      </c>
      <c r="K310" s="2">
        <v>255</v>
      </c>
      <c r="L310" s="2">
        <v>299</v>
      </c>
      <c r="M310" s="2">
        <v>168</v>
      </c>
      <c r="N310" s="2">
        <v>134</v>
      </c>
      <c r="O310" s="2">
        <v>281</v>
      </c>
      <c r="P310" s="2">
        <v>30</v>
      </c>
    </row>
    <row r="311" spans="1:16" ht="10.5" customHeight="1">
      <c r="A311" s="3" t="s">
        <v>76</v>
      </c>
      <c r="C311" s="2">
        <v>22918</v>
      </c>
      <c r="D311" s="2">
        <v>2390</v>
      </c>
      <c r="E311" s="2">
        <v>5556</v>
      </c>
      <c r="F311" s="2">
        <v>13953</v>
      </c>
      <c r="G311" s="2">
        <v>41548</v>
      </c>
      <c r="H311" s="2">
        <v>8811</v>
      </c>
      <c r="I311" s="2">
        <v>307</v>
      </c>
      <c r="J311" s="2">
        <v>835</v>
      </c>
      <c r="K311" s="2">
        <v>410</v>
      </c>
      <c r="L311" s="2">
        <v>475</v>
      </c>
      <c r="M311" s="2">
        <v>248</v>
      </c>
      <c r="N311" s="2">
        <v>182</v>
      </c>
      <c r="O311" s="2">
        <v>401</v>
      </c>
      <c r="P311" s="2">
        <v>52</v>
      </c>
    </row>
    <row r="312" spans="2:16" s="4" customFormat="1" ht="10.5" customHeight="1">
      <c r="B312" s="6" t="s">
        <v>132</v>
      </c>
      <c r="C312" s="4">
        <f>C311/30864</f>
        <v>0.7425479523068947</v>
      </c>
      <c r="D312" s="4">
        <f>D311/30864</f>
        <v>0.0774364955935718</v>
      </c>
      <c r="E312" s="4">
        <f>E311/30864</f>
        <v>0.18001555209953343</v>
      </c>
      <c r="F312" s="4">
        <f>F311/65454</f>
        <v>0.2131726097717481</v>
      </c>
      <c r="G312" s="4">
        <f>G311/65454</f>
        <v>0.634766400831118</v>
      </c>
      <c r="H312" s="4">
        <f>H311/65454</f>
        <v>0.1346136217801815</v>
      </c>
      <c r="I312" s="4">
        <f>I311/65454</f>
        <v>0.004690316863751642</v>
      </c>
      <c r="J312" s="4">
        <f>J311/65454</f>
        <v>0.012757050753200721</v>
      </c>
      <c r="K312" s="4">
        <f>K311/1133</f>
        <v>0.36187113857016767</v>
      </c>
      <c r="L312" s="4">
        <f>L311/1133</f>
        <v>0.41924095322153576</v>
      </c>
      <c r="M312" s="4">
        <f>M311/1133</f>
        <v>0.21888790820829657</v>
      </c>
      <c r="N312" s="4">
        <f>N311/182</f>
        <v>1</v>
      </c>
      <c r="O312" s="4">
        <f>O311/401</f>
        <v>1</v>
      </c>
      <c r="P312" s="4">
        <f>P311/52</f>
        <v>1</v>
      </c>
    </row>
    <row r="313" spans="2:16" ht="10.5" customHeight="1"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0.5" customHeight="1">
      <c r="A314" s="3" t="s">
        <v>82</v>
      </c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0.5" customHeight="1">
      <c r="B315" s="5" t="s">
        <v>74</v>
      </c>
      <c r="C315" s="2">
        <v>38678</v>
      </c>
      <c r="D315" s="2">
        <v>2269</v>
      </c>
      <c r="E315" s="2">
        <v>6310</v>
      </c>
      <c r="F315" s="2">
        <v>14972</v>
      </c>
      <c r="G315" s="2">
        <v>52999</v>
      </c>
      <c r="H315" s="2">
        <v>11028</v>
      </c>
      <c r="I315" s="2">
        <v>497</v>
      </c>
      <c r="J315" s="2">
        <v>964</v>
      </c>
      <c r="K315" s="2">
        <v>322</v>
      </c>
      <c r="L315" s="2">
        <v>424</v>
      </c>
      <c r="M315" s="2">
        <v>296</v>
      </c>
      <c r="N315" s="2">
        <v>282</v>
      </c>
      <c r="O315" s="2">
        <v>580</v>
      </c>
      <c r="P315" s="2">
        <v>67</v>
      </c>
    </row>
    <row r="316" spans="1:16" ht="10.5" customHeight="1">
      <c r="A316" s="3" t="s">
        <v>76</v>
      </c>
      <c r="C316" s="2">
        <v>38678</v>
      </c>
      <c r="D316" s="2">
        <v>2269</v>
      </c>
      <c r="E316" s="2">
        <v>6310</v>
      </c>
      <c r="F316" s="2">
        <v>14972</v>
      </c>
      <c r="G316" s="2">
        <v>52999</v>
      </c>
      <c r="H316" s="2">
        <v>11028</v>
      </c>
      <c r="I316" s="2">
        <v>497</v>
      </c>
      <c r="J316" s="2">
        <v>964</v>
      </c>
      <c r="K316" s="2">
        <v>322</v>
      </c>
      <c r="L316" s="2">
        <v>424</v>
      </c>
      <c r="M316" s="2">
        <v>296</v>
      </c>
      <c r="N316" s="2">
        <v>282</v>
      </c>
      <c r="O316" s="2">
        <v>580</v>
      </c>
      <c r="P316" s="2">
        <v>67</v>
      </c>
    </row>
    <row r="317" spans="2:16" s="4" customFormat="1" ht="10.5" customHeight="1">
      <c r="B317" s="6" t="s">
        <v>132</v>
      </c>
      <c r="C317" s="4">
        <f>C316/47257</f>
        <v>0.8184607571365089</v>
      </c>
      <c r="D317" s="4">
        <f>D316/47257</f>
        <v>0.048014050828448694</v>
      </c>
      <c r="E317" s="4">
        <f>E316/47257</f>
        <v>0.13352519203504243</v>
      </c>
      <c r="F317" s="4">
        <f>F316/80460</f>
        <v>0.18608003977131493</v>
      </c>
      <c r="G317" s="4">
        <f>G316/80460</f>
        <v>0.6586999751429282</v>
      </c>
      <c r="H317" s="4">
        <f>H316/80460</f>
        <v>0.13706189410887398</v>
      </c>
      <c r="I317" s="4">
        <f>I316/80460</f>
        <v>0.006176982351478995</v>
      </c>
      <c r="J317" s="4">
        <f>J316/80460</f>
        <v>0.011981108625403927</v>
      </c>
      <c r="K317" s="4">
        <f>K316/1042</f>
        <v>0.30902111324376197</v>
      </c>
      <c r="L317" s="4">
        <f>L316/1042</f>
        <v>0.4069097888675624</v>
      </c>
      <c r="M317" s="4">
        <f>M316/1042</f>
        <v>0.2840690978886756</v>
      </c>
      <c r="N317" s="4">
        <f>N316/282</f>
        <v>1</v>
      </c>
      <c r="O317" s="4">
        <f>O316/580</f>
        <v>1</v>
      </c>
      <c r="P317" s="4">
        <f>P316/67</f>
        <v>1</v>
      </c>
    </row>
    <row r="318" spans="2:16" ht="10.5" customHeight="1"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0.5" customHeight="1">
      <c r="A319" s="3" t="s">
        <v>83</v>
      </c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0.5" customHeight="1">
      <c r="B320" s="5" t="s">
        <v>75</v>
      </c>
      <c r="C320" s="2">
        <v>5143</v>
      </c>
      <c r="D320" s="2">
        <v>502</v>
      </c>
      <c r="E320" s="2">
        <v>2263</v>
      </c>
      <c r="F320" s="2">
        <v>1260</v>
      </c>
      <c r="G320" s="2">
        <v>2488</v>
      </c>
      <c r="H320" s="2">
        <v>1129</v>
      </c>
      <c r="I320" s="2">
        <v>58</v>
      </c>
      <c r="J320" s="2">
        <v>420</v>
      </c>
      <c r="K320" s="2">
        <v>71</v>
      </c>
      <c r="L320" s="2">
        <v>46</v>
      </c>
      <c r="M320" s="2">
        <v>37</v>
      </c>
      <c r="N320" s="2">
        <v>13</v>
      </c>
      <c r="O320" s="2">
        <v>30</v>
      </c>
      <c r="P320" s="2">
        <v>10</v>
      </c>
    </row>
    <row r="321" spans="2:16" ht="10.5" customHeight="1">
      <c r="B321" s="5" t="s">
        <v>74</v>
      </c>
      <c r="C321" s="2">
        <v>26983</v>
      </c>
      <c r="D321" s="2">
        <v>1672</v>
      </c>
      <c r="E321" s="2">
        <v>6615</v>
      </c>
      <c r="F321" s="2">
        <v>5892</v>
      </c>
      <c r="G321" s="2">
        <v>14090</v>
      </c>
      <c r="H321" s="2">
        <v>3730</v>
      </c>
      <c r="I321" s="2">
        <v>168</v>
      </c>
      <c r="J321" s="2">
        <v>1058</v>
      </c>
      <c r="K321" s="2">
        <v>172</v>
      </c>
      <c r="L321" s="2">
        <v>246</v>
      </c>
      <c r="M321" s="2">
        <v>193</v>
      </c>
      <c r="N321" s="2">
        <v>86</v>
      </c>
      <c r="O321" s="2">
        <v>138</v>
      </c>
      <c r="P321" s="2">
        <v>58</v>
      </c>
    </row>
    <row r="322" spans="1:16" ht="10.5" customHeight="1">
      <c r="A322" s="3" t="s">
        <v>76</v>
      </c>
      <c r="C322" s="2">
        <v>32126</v>
      </c>
      <c r="D322" s="2">
        <v>2174</v>
      </c>
      <c r="E322" s="2">
        <v>8878</v>
      </c>
      <c r="F322" s="2">
        <v>7152</v>
      </c>
      <c r="G322" s="2">
        <v>16578</v>
      </c>
      <c r="H322" s="2">
        <v>4859</v>
      </c>
      <c r="I322" s="2">
        <v>226</v>
      </c>
      <c r="J322" s="2">
        <v>1478</v>
      </c>
      <c r="K322" s="2">
        <v>243</v>
      </c>
      <c r="L322" s="2">
        <v>292</v>
      </c>
      <c r="M322" s="2">
        <v>230</v>
      </c>
      <c r="N322" s="2">
        <v>99</v>
      </c>
      <c r="O322" s="2">
        <v>168</v>
      </c>
      <c r="P322" s="2">
        <v>68</v>
      </c>
    </row>
    <row r="323" spans="2:16" s="4" customFormat="1" ht="10.5" customHeight="1">
      <c r="B323" s="6" t="s">
        <v>132</v>
      </c>
      <c r="C323" s="4">
        <f>C322/43178</f>
        <v>0.7440363147899394</v>
      </c>
      <c r="D323" s="4">
        <f>D322/43178</f>
        <v>0.050349715132706474</v>
      </c>
      <c r="E323" s="4">
        <f>E322/43178</f>
        <v>0.2056139700773542</v>
      </c>
      <c r="F323" s="4">
        <f>F322/30293</f>
        <v>0.23609414716271085</v>
      </c>
      <c r="G323" s="4">
        <f>G322/30293</f>
        <v>0.5472551414518205</v>
      </c>
      <c r="H323" s="4">
        <f>H322/30293</f>
        <v>0.16040009243059453</v>
      </c>
      <c r="I323" s="4">
        <f>I322/30293</f>
        <v>0.007460469415376489</v>
      </c>
      <c r="J323" s="4">
        <f>J322/30293</f>
        <v>0.048790149539497576</v>
      </c>
      <c r="K323" s="4">
        <f>K322/765</f>
        <v>0.3176470588235294</v>
      </c>
      <c r="L323" s="4">
        <f>L322/765</f>
        <v>0.38169934640522873</v>
      </c>
      <c r="M323" s="4">
        <f>M322/765</f>
        <v>0.3006535947712418</v>
      </c>
      <c r="N323" s="4">
        <f>N322/99</f>
        <v>1</v>
      </c>
      <c r="O323" s="4">
        <f>O322/168</f>
        <v>1</v>
      </c>
      <c r="P323" s="4">
        <f>P322/68</f>
        <v>1</v>
      </c>
    </row>
    <row r="324" spans="2:16" ht="10.5" customHeight="1"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0.5" customHeight="1">
      <c r="A325" s="3" t="s">
        <v>84</v>
      </c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0.5" customHeight="1">
      <c r="B326" s="5" t="s">
        <v>74</v>
      </c>
      <c r="C326" s="2">
        <v>30547</v>
      </c>
      <c r="D326" s="2">
        <v>2429</v>
      </c>
      <c r="E326" s="2">
        <v>7370</v>
      </c>
      <c r="F326" s="2">
        <v>19151</v>
      </c>
      <c r="G326" s="2">
        <v>48760</v>
      </c>
      <c r="H326" s="2">
        <v>9399</v>
      </c>
      <c r="I326" s="2">
        <v>424</v>
      </c>
      <c r="J326" s="2">
        <v>1196</v>
      </c>
      <c r="K326" s="2">
        <v>353</v>
      </c>
      <c r="L326" s="2">
        <v>491</v>
      </c>
      <c r="M326" s="2">
        <v>316</v>
      </c>
      <c r="N326" s="2">
        <v>228</v>
      </c>
      <c r="O326" s="2">
        <v>527</v>
      </c>
      <c r="P326" s="2">
        <v>61</v>
      </c>
    </row>
    <row r="327" spans="1:16" ht="10.5" customHeight="1">
      <c r="A327" s="3" t="s">
        <v>76</v>
      </c>
      <c r="C327" s="2">
        <v>30547</v>
      </c>
      <c r="D327" s="2">
        <v>2429</v>
      </c>
      <c r="E327" s="2">
        <v>7370</v>
      </c>
      <c r="F327" s="2">
        <v>19151</v>
      </c>
      <c r="G327" s="2">
        <v>48760</v>
      </c>
      <c r="H327" s="2">
        <v>9399</v>
      </c>
      <c r="I327" s="2">
        <v>424</v>
      </c>
      <c r="J327" s="2">
        <v>1196</v>
      </c>
      <c r="K327" s="2">
        <v>353</v>
      </c>
      <c r="L327" s="2">
        <v>491</v>
      </c>
      <c r="M327" s="2">
        <v>316</v>
      </c>
      <c r="N327" s="2">
        <v>228</v>
      </c>
      <c r="O327" s="2">
        <v>527</v>
      </c>
      <c r="P327" s="2">
        <v>61</v>
      </c>
    </row>
    <row r="328" spans="2:16" s="4" customFormat="1" ht="10.5" customHeight="1">
      <c r="B328" s="6" t="s">
        <v>132</v>
      </c>
      <c r="C328" s="4">
        <f>C327/40346</f>
        <v>0.7571258612997571</v>
      </c>
      <c r="D328" s="4">
        <f>D327/40346</f>
        <v>0.06020423338125217</v>
      </c>
      <c r="E328" s="4">
        <f>E327/40346</f>
        <v>0.18266990531899074</v>
      </c>
      <c r="F328" s="4">
        <f>F327/78930</f>
        <v>0.24263271253008994</v>
      </c>
      <c r="G328" s="4">
        <f>G327/78930</f>
        <v>0.6177625744330419</v>
      </c>
      <c r="H328" s="4">
        <f>H327/78930</f>
        <v>0.11908019764348157</v>
      </c>
      <c r="I328" s="4">
        <f>I327/78930</f>
        <v>0.005371848473330799</v>
      </c>
      <c r="J328" s="4">
        <f>J327/78930</f>
        <v>0.015152666920055746</v>
      </c>
      <c r="K328" s="4">
        <f>K327/1160</f>
        <v>0.30431034482758623</v>
      </c>
      <c r="L328" s="4">
        <f>L327/1160</f>
        <v>0.4232758620689655</v>
      </c>
      <c r="M328" s="4">
        <f>M327/1160</f>
        <v>0.27241379310344827</v>
      </c>
      <c r="N328" s="4">
        <f>N327/228</f>
        <v>1</v>
      </c>
      <c r="O328" s="4">
        <f>O327/527</f>
        <v>1</v>
      </c>
      <c r="P328" s="4">
        <f>P327/61</f>
        <v>1</v>
      </c>
    </row>
    <row r="329" spans="2:16" ht="10.5" customHeight="1"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0.5" customHeight="1">
      <c r="A330" s="3" t="s">
        <v>85</v>
      </c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0.5" customHeight="1">
      <c r="B331" s="5" t="s">
        <v>74</v>
      </c>
      <c r="C331" s="2">
        <v>39420</v>
      </c>
      <c r="D331" s="2">
        <v>1939</v>
      </c>
      <c r="E331" s="2">
        <v>4839</v>
      </c>
      <c r="F331" s="2">
        <v>6944</v>
      </c>
      <c r="G331" s="2">
        <v>22032</v>
      </c>
      <c r="H331" s="2">
        <v>5297</v>
      </c>
      <c r="I331" s="2">
        <v>252</v>
      </c>
      <c r="J331" s="2">
        <v>701</v>
      </c>
      <c r="K331" s="2">
        <v>221</v>
      </c>
      <c r="L331" s="2">
        <v>303</v>
      </c>
      <c r="M331" s="2">
        <v>256</v>
      </c>
      <c r="N331" s="2">
        <v>439</v>
      </c>
      <c r="O331" s="2">
        <v>487</v>
      </c>
      <c r="P331" s="2">
        <v>94</v>
      </c>
    </row>
    <row r="332" spans="1:16" ht="10.5" customHeight="1">
      <c r="A332" s="3" t="s">
        <v>76</v>
      </c>
      <c r="C332" s="2">
        <v>39420</v>
      </c>
      <c r="D332" s="2">
        <v>1939</v>
      </c>
      <c r="E332" s="2">
        <v>4839</v>
      </c>
      <c r="F332" s="2">
        <v>6944</v>
      </c>
      <c r="G332" s="2">
        <v>22032</v>
      </c>
      <c r="H332" s="2">
        <v>5297</v>
      </c>
      <c r="I332" s="2">
        <v>252</v>
      </c>
      <c r="J332" s="2">
        <v>701</v>
      </c>
      <c r="K332" s="2">
        <v>221</v>
      </c>
      <c r="L332" s="2">
        <v>303</v>
      </c>
      <c r="M332" s="2">
        <v>256</v>
      </c>
      <c r="N332" s="2">
        <v>439</v>
      </c>
      <c r="O332" s="2">
        <v>487</v>
      </c>
      <c r="P332" s="2">
        <v>94</v>
      </c>
    </row>
    <row r="333" spans="2:16" s="4" customFormat="1" ht="10.5" customHeight="1">
      <c r="B333" s="6" t="s">
        <v>132</v>
      </c>
      <c r="C333" s="4">
        <f>C332/46198</f>
        <v>0.8532836919347158</v>
      </c>
      <c r="D333" s="4">
        <f>D332/46198</f>
        <v>0.041971513918351445</v>
      </c>
      <c r="E333" s="4">
        <f>E332/46198</f>
        <v>0.10474479414693277</v>
      </c>
      <c r="F333" s="4">
        <f>F332/35226</f>
        <v>0.19712712201215013</v>
      </c>
      <c r="G333" s="4">
        <f>G332/35226</f>
        <v>0.625447112927951</v>
      </c>
      <c r="H333" s="4">
        <f>H332/35226</f>
        <v>0.15037188440356555</v>
      </c>
      <c r="I333" s="4">
        <f>I332/35226</f>
        <v>0.007153806847215125</v>
      </c>
      <c r="J333" s="4">
        <f>J332/35226</f>
        <v>0.019900073809118266</v>
      </c>
      <c r="K333" s="4">
        <f>K332/780</f>
        <v>0.2833333333333333</v>
      </c>
      <c r="L333" s="4">
        <f>L332/780</f>
        <v>0.38846153846153847</v>
      </c>
      <c r="M333" s="4">
        <f>M332/780</f>
        <v>0.3282051282051282</v>
      </c>
      <c r="N333" s="4">
        <f>N332/439</f>
        <v>1</v>
      </c>
      <c r="O333" s="4">
        <f>O332/487</f>
        <v>1</v>
      </c>
      <c r="P333" s="4">
        <f>P332/94</f>
        <v>1</v>
      </c>
    </row>
    <row r="334" spans="2:16" ht="10.5" customHeight="1"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0.5" customHeight="1"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</sheetData>
  <printOptions/>
  <pageMargins left="0.8999999999999999" right="0.8999999999999999" top="1" bottom="0.8" header="0.3" footer="0.3"/>
  <pageSetup firstPageNumber="259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 for United States Senator</oddHeader>
    <oddFooter>&amp;C&amp;"Arial,Bold"&amp;8&amp;P</oddFooter>
  </headerFooter>
  <rowBreaks count="5" manualBreakCount="5">
    <brk id="60" max="15" man="1"/>
    <brk id="120" max="15" man="1"/>
    <brk id="178" max="15" man="1"/>
    <brk id="227" max="15" man="1"/>
    <brk id="2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2013-04-17T18:44:37Z</cp:lastPrinted>
  <dcterms:created xsi:type="dcterms:W3CDTF">2010-11-07T20:05:38Z</dcterms:created>
  <dcterms:modified xsi:type="dcterms:W3CDTF">2013-04-17T18:44:38Z</dcterms:modified>
  <cp:category/>
  <cp:version/>
  <cp:contentType/>
  <cp:contentStatus/>
</cp:coreProperties>
</file>